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912" firstSheet="2" activeTab="11"/>
  </bookViews>
  <sheets>
    <sheet name="zestawienie" sheetId="1" r:id="rId1"/>
    <sheet name="ogółem" sheetId="2" r:id="rId2"/>
    <sheet name="gmina własne" sheetId="3" r:id="rId3"/>
    <sheet name="gmina zlecone" sheetId="4" r:id="rId4"/>
    <sheet name="powiat własny" sheetId="5" r:id="rId5"/>
    <sheet name="powiat zlecone" sheetId="6" r:id="rId6"/>
    <sheet name="samorządy" sheetId="7" r:id="rId7"/>
    <sheet name="gw" sheetId="8" r:id="rId8"/>
    <sheet name="gz" sheetId="9" r:id="rId9"/>
    <sheet name="pw" sheetId="10" r:id="rId10"/>
    <sheet name="pz" sheetId="11" r:id="rId11"/>
    <sheet name="inwestycje" sheetId="12" r:id="rId12"/>
    <sheet name="Arkusz3" sheetId="13" r:id="rId13"/>
    <sheet name="Arkusz1" sheetId="14" r:id="rId14"/>
    <sheet name="Arkusz2" sheetId="15" r:id="rId15"/>
  </sheets>
  <externalReferences>
    <externalReference r:id="rId18"/>
  </externalReferences>
  <definedNames>
    <definedName name="_xlnm._FilterDatabase" localSheetId="3" hidden="1">'gmina zlecone'!$B$1:$B$36</definedName>
    <definedName name="_xlnm.Print_Area" localSheetId="2">'gmina własne'!$A$1:$E$338</definedName>
    <definedName name="_xlnm.Print_Area" localSheetId="3">'gmina zlecone'!$A$1:$E$39</definedName>
    <definedName name="_xlnm.Print_Area" localSheetId="7">'gw'!$A$1:$E$439</definedName>
    <definedName name="_xlnm.Print_Area" localSheetId="11">'inwestycje'!$A$1:$E$210</definedName>
    <definedName name="_xlnm.Print_Area" localSheetId="1">'ogółem'!$A$1:$E$426</definedName>
    <definedName name="_xlnm.Print_Area" localSheetId="4">'powiat własny'!$A$2:$E$97</definedName>
    <definedName name="_xlnm.Print_Area" localSheetId="5">'powiat zlecone'!$A$1:$E$28</definedName>
    <definedName name="_xlnm.Print_Area" localSheetId="9">'pw'!$A$1:$E$113</definedName>
    <definedName name="_xlnm.Print_Area" localSheetId="6">'samorządy'!$A$1:$E$119</definedName>
    <definedName name="_xlnm.Print_Area" localSheetId="0">'zestawienie'!$C$1:$D$18</definedName>
  </definedNames>
  <calcPr fullCalcOnLoad="1"/>
</workbook>
</file>

<file path=xl/sharedStrings.xml><?xml version="1.0" encoding="utf-8"?>
<sst xmlns="http://schemas.openxmlformats.org/spreadsheetml/2006/main" count="2498" uniqueCount="415">
  <si>
    <t>Rolnictwo i łowiectwo</t>
  </si>
  <si>
    <t>Budowa i utrzymanie urządzeń melioracji wodnych</t>
  </si>
  <si>
    <t>Zakup usług remontowych</t>
  </si>
  <si>
    <t>Zwalczanie chorób zakaźnych zwierząt oraz badania monitoringowe pozostałości chemicznych i biologicznych w tkankach zwierząt i produktach pochodzenia zwierzęcego</t>
  </si>
  <si>
    <t>Wynagrodzenia agencyjno-prowizyjne</t>
  </si>
  <si>
    <t>Pozostała działalność</t>
  </si>
  <si>
    <t>Nagrody i wydatki osobowe nie zaliczone do wynagrodzeń</t>
  </si>
  <si>
    <t>Zakup materiałów i wyposażenia</t>
  </si>
  <si>
    <t>Zakup usług pozostałych</t>
  </si>
  <si>
    <t>Różne opłaty i składki</t>
  </si>
  <si>
    <t>Wytwarzanie i zaopatrzenie w energie elektryczną, gaz i wodę</t>
  </si>
  <si>
    <t>Dostarczanie ciepła</t>
  </si>
  <si>
    <t>Dostarczanie wody</t>
  </si>
  <si>
    <t>Wydatki na zakup i objęcie akcji oraz wniesienie wkładów do spółek prawa handlowego</t>
  </si>
  <si>
    <t>Transport i łączność</t>
  </si>
  <si>
    <t>Lokalny transport zbiorowy</t>
  </si>
  <si>
    <t>Drogi publiczne gminne</t>
  </si>
  <si>
    <t>Różne wydatki na rzecz osób fizycznych</t>
  </si>
  <si>
    <t>Turystyka</t>
  </si>
  <si>
    <t>Zadania w zakresie upowszechniania turystyki</t>
  </si>
  <si>
    <t>Dotacja przedmiotowa z budżetu dla jednostek nie zaliczanych do sektora finansów publicznych</t>
  </si>
  <si>
    <t>Gospodarka mieszkaniowa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</si>
  <si>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</si>
  <si>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</si>
  <si>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</si>
  <si>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</si>
  <si>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</si>
  <si>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</si>
  <si>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</si>
  <si>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</si>
  <si>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Rady gmin (miast i miast na prawach powiatu)</t>
  </si>
  <si>
    <t>Dodatkowe wynagrodzenie roczne</t>
  </si>
  <si>
    <t>Podróże służbowe zagraniczne</t>
  </si>
  <si>
    <t>Urzędy gmin (miast i miast na prawach powiatu))</t>
  </si>
  <si>
    <t>Kary i odszkodowania na rzecz osób fizycznych</t>
  </si>
  <si>
    <t>Wydatki inwestycyjne jednostek budżetowych</t>
  </si>
  <si>
    <t>Wydatki na zakupy inwestycyjne jednostek budżetowych</t>
  </si>
  <si>
    <t>Komisje poborowe</t>
  </si>
  <si>
    <t>Dotacja z budżetu na finansowanie lub dofinansowanie zadań zleconych do realizacji stowarzyszeniom</t>
  </si>
  <si>
    <t>Zakup pomocy naukowych, dydaktycznych i książek</t>
  </si>
  <si>
    <t>Koszty postępowania sądowego</t>
  </si>
  <si>
    <t>Urzędy naczelnych organów władzy państwowej, kontroli i ochrony prawa oraz sądownictwa</t>
  </si>
  <si>
    <t>Urzędy naczelnych organów władzy państwowej , kontroli i ochrony prawa</t>
  </si>
  <si>
    <t>Obrona narodowa</t>
  </si>
  <si>
    <t>Wojska Lądowe</t>
  </si>
  <si>
    <t>Świadczenia społeczne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</si>
  <si>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</si>
  <si>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</si>
  <si>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</si>
  <si>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</si>
  <si>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</si>
  <si>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</si>
  <si>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Różne rozliczenia</t>
  </si>
  <si>
    <t>Część wyrównawcza subwencji ogólnej dla gmin</t>
  </si>
  <si>
    <t>Wpłaty gmin na zwiększenie części wyrównawczej i części dostosowawczej subwencji ogólnej</t>
  </si>
  <si>
    <t>Różne rozliczenia finansowe</t>
  </si>
  <si>
    <t>Rezerwy ogólne i celowe</t>
  </si>
  <si>
    <t>Rezerwy</t>
  </si>
  <si>
    <t>Rezerwy na inwestycje i zakupy inwestycyjne</t>
  </si>
  <si>
    <t>Oświata i wychowanie</t>
  </si>
  <si>
    <t>Szkoły podstawowe</t>
  </si>
  <si>
    <t>Dotacja podmiotowa z budżetu dla niepublicznej szkoły lub innej placówki oświatowo-wychowawczej</t>
  </si>
  <si>
    <t>Szkoły podstawowe specjalne</t>
  </si>
  <si>
    <t>Gimnazja</t>
  </si>
  <si>
    <t>Gimnazja specjalne</t>
  </si>
  <si>
    <t>Dowożenie uczniów do szkół</t>
  </si>
  <si>
    <t>Licea ogólnokształcące</t>
  </si>
  <si>
    <t>Szkoły artystyczne</t>
  </si>
  <si>
    <t>Szkoły pomaturalne i licealne</t>
  </si>
  <si>
    <t>Szkoły zawodowe specjalne</t>
  </si>
  <si>
    <t>Dotacja podmiotowa z budżetu dla jednostek nie zaliczanych do sektora finansów publicznych</t>
  </si>
  <si>
    <t>Ochrona zdrowia</t>
  </si>
  <si>
    <t>Szpitale ogólne</t>
  </si>
  <si>
    <t>Zakłady opiekuńczo-lecznicze i pielęgnacyjno-opiekuńcze</t>
  </si>
  <si>
    <t>Przeciwdziałanie alkoholizmowi</t>
  </si>
  <si>
    <t>Dotacja podmiotowa z budżetu dla samodzielnego publicznego zakładu opieki zdrowotnej</t>
  </si>
  <si>
    <t>Dotacja z budżetu na finansowanie lub dofinansowanie zadań zleconych do realizacji fundacjom</t>
  </si>
  <si>
    <t>Dotacja z budżetu na finansowanie lub dofinansowanie zadań zleconych do realizacji pozostałym jednostkom nie zaliczanym do sektora finansów publicznych</t>
  </si>
  <si>
    <t>Zakup usług zdrowotnych</t>
  </si>
  <si>
    <t>Składki do organizacji międzynarodowych</t>
  </si>
  <si>
    <t>Opieka społeczna</t>
  </si>
  <si>
    <t>Placówki opiekuńczo-wychowawcze</t>
  </si>
  <si>
    <t>Domy pomocy społecznej</t>
  </si>
  <si>
    <t>Ośrodki wsparcia</t>
  </si>
  <si>
    <t>Ośrodki adopcyjno-opiekuńcze</t>
  </si>
  <si>
    <t>Edukacyjna opieka wychowawcza</t>
  </si>
  <si>
    <t>Świetlice szkolne</t>
  </si>
  <si>
    <t>Specjalne ośrodki szkolno-wychowawcze</t>
  </si>
  <si>
    <t>Dotacje celowe z budżetu na finansowanie lub dofinansowanie kosztów realizacji inwestycji i zakupów inwestycyjnych zakładów budżetowych</t>
  </si>
  <si>
    <t>Przedszkola specjalne</t>
  </si>
  <si>
    <t>Placówki wychowania pozaszkolnego</t>
  </si>
  <si>
    <t>Internaty i bursy szkolne</t>
  </si>
  <si>
    <t>Kolonie i obozy oraz inne formy wypoczynku dzieci i młodzieży szkolnej</t>
  </si>
  <si>
    <t>Szkolne schroniska młodzieżowe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</si>
  <si>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</si>
  <si>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</si>
  <si>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</si>
  <si>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</si>
  <si>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</si>
  <si>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</si>
  <si>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</si>
  <si>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</si>
  <si>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</si>
  <si>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Ochrona i konserwacja zabytków</t>
  </si>
  <si>
    <t>Dotacja podmiotowa z budżetu dla instytucji kultury</t>
  </si>
  <si>
    <t>Ogrody botaniczne i zoologiczne oraz naturalne obszary i obiekty chronionej przyrody</t>
  </si>
  <si>
    <t>Ogrody botaniczne i zoologiczne</t>
  </si>
  <si>
    <t>Dotacja podmiotowa z budżetu dla szkoły wyższej</t>
  </si>
  <si>
    <t>Kultura fizyczna i sport</t>
  </si>
  <si>
    <t>Obiekty sportowe</t>
  </si>
  <si>
    <t>Zadania w zakresie kultury fizycznej i sportu</t>
  </si>
  <si>
    <t>010</t>
  </si>
  <si>
    <t>01008</t>
  </si>
  <si>
    <t>01022</t>
  </si>
  <si>
    <t>01095</t>
  </si>
  <si>
    <t>Dz.</t>
  </si>
  <si>
    <t>Rozdz.</t>
  </si>
  <si>
    <t>§</t>
  </si>
  <si>
    <t>Wyszczególnienie</t>
  </si>
  <si>
    <t>Wydatki własne gminy</t>
  </si>
  <si>
    <t>Inżynier Miasta</t>
  </si>
  <si>
    <t>Gospodarka odpadami</t>
  </si>
  <si>
    <t>Komendant Straży Miejskiej</t>
  </si>
  <si>
    <t>Straż miejska</t>
  </si>
  <si>
    <t>Wydatki własne powiatu</t>
  </si>
  <si>
    <t>Dyrektor Wydziału Zdrowia i Spraw Społecznych</t>
  </si>
  <si>
    <t>Dotacje celowe z budżetu na finansowanie lub dofinansowanie kosztów realizacji inwestycji i zakupów inwestycyjnych innych jednostek sektora finansów publicznych</t>
  </si>
  <si>
    <t>Izby wytrzeźwień</t>
  </si>
  <si>
    <t>Wydatki powiatu na zadania zlecone</t>
  </si>
  <si>
    <t>Dyrektor Miejskiego Inspektoratu Obrony Cywilnej</t>
  </si>
  <si>
    <t>Dyrektor Wydziału Oświaty</t>
  </si>
  <si>
    <t>Dyrektor Wydziału Kultury Fizycznej i Turystyki</t>
  </si>
  <si>
    <t>Dyrektor Wydziału Kultury i Sztuki</t>
  </si>
  <si>
    <t>Dyrektor Wydziału Informatyki</t>
  </si>
  <si>
    <t>Dyrektor Wydziału Mienia Komunalnego</t>
  </si>
  <si>
    <t>Zakłady gospodarki mieszkaniowej</t>
  </si>
  <si>
    <t>Dyrektor Wydziału Ochrony Środowiska</t>
  </si>
  <si>
    <t>Dyrektor Biura Miejskiego Konserwatora Zabytków</t>
  </si>
  <si>
    <t xml:space="preserve">Samorządy pomocnicze </t>
  </si>
  <si>
    <t>Wydatki</t>
  </si>
  <si>
    <t>Nazwa</t>
  </si>
  <si>
    <t xml:space="preserve">Ogółem </t>
  </si>
  <si>
    <t xml:space="preserve">Transport i łączność </t>
  </si>
  <si>
    <t xml:space="preserve">Turystyka </t>
  </si>
  <si>
    <t xml:space="preserve">Rolnictwo i łowiectwo </t>
  </si>
  <si>
    <t xml:space="preserve">Pozostała działalność </t>
  </si>
  <si>
    <t>Bezp.publ.i ochr.przeciwpoż.</t>
  </si>
  <si>
    <t xml:space="preserve">Zakup materiałów i wyposażenia </t>
  </si>
  <si>
    <t xml:space="preserve">Oświata i wychowanie </t>
  </si>
  <si>
    <t xml:space="preserve">Zakup usług pozostałych </t>
  </si>
  <si>
    <t xml:space="preserve">Opieka społeczna </t>
  </si>
  <si>
    <t xml:space="preserve">Administracja publiczna </t>
  </si>
  <si>
    <t xml:space="preserve">Różne wydatki na rzecz osób fizycznych  </t>
  </si>
  <si>
    <t>Składki na ubezp.społeczne</t>
  </si>
  <si>
    <t xml:space="preserve">Składki na Fundusz Pracy </t>
  </si>
  <si>
    <t xml:space="preserve">Zakup  materiałów i wyposażenia </t>
  </si>
  <si>
    <t xml:space="preserve">Zakup usług remontowych  </t>
  </si>
  <si>
    <t xml:space="preserve">Podróże służbowe krajowe </t>
  </si>
  <si>
    <t xml:space="preserve">Szkoły podstawowe </t>
  </si>
  <si>
    <t xml:space="preserve">Zakup  materiałów i wyposażenia  </t>
  </si>
  <si>
    <t xml:space="preserve">Gimnazja </t>
  </si>
  <si>
    <t>Składki na ubezp.społ.</t>
  </si>
  <si>
    <t xml:space="preserve">Zakup wyposażenia i materiałów </t>
  </si>
  <si>
    <t>Dot.przedm.z budż.dla jedn.nie zal.do sekt.fin.publ.</t>
  </si>
  <si>
    <t>Zak.pom.nauk.dydakt.i książek</t>
  </si>
  <si>
    <t xml:space="preserve">Edukacyjna opieka wychow. </t>
  </si>
  <si>
    <t xml:space="preserve">Świetlice szkolne </t>
  </si>
  <si>
    <t>Dot.podm.z budż.dla jedn.nie zal.do sekt.fin.publ.</t>
  </si>
  <si>
    <t xml:space="preserve">Kol.i obozy oraz inne formy wypocz.dzieci i mł.szkolnej </t>
  </si>
  <si>
    <t>Gosp.komun.i ochr.środow.</t>
  </si>
  <si>
    <t xml:space="preserve">Oczyszczanie miast i wsi </t>
  </si>
  <si>
    <t xml:space="preserve">Utrz.zieleni w miastach i gminach </t>
  </si>
  <si>
    <t xml:space="preserve">Zakup usług remontowych </t>
  </si>
  <si>
    <t>Oświetlenie ulic,placów i dróg</t>
  </si>
  <si>
    <t xml:space="preserve">Wyd.inw.jedn.budżet. </t>
  </si>
  <si>
    <t>Kultura i ochr.dziedzictwa narod.</t>
  </si>
  <si>
    <t>Pozostałe zad.w zakr.kultury</t>
  </si>
  <si>
    <t xml:space="preserve">Domy i ośr.kul.,świetlice i kluby </t>
  </si>
  <si>
    <t xml:space="preserve">Obiekty sportowe </t>
  </si>
  <si>
    <t>Dyrektor Biura Rady</t>
  </si>
  <si>
    <t>Dyrektor Wydziału Organizacyjnego</t>
  </si>
  <si>
    <t>Biuro Rzecznika Prezydenta</t>
  </si>
  <si>
    <t>Dyrektor Biura Komunikacji Społecznej</t>
  </si>
  <si>
    <t>Wydatki na zad. zlec. gminom</t>
  </si>
  <si>
    <t xml:space="preserve">Wydatki powiatu na zadania zlecone </t>
  </si>
  <si>
    <t>Dyrektor Wydziału Analiz i Kontroli Budżetu</t>
  </si>
  <si>
    <t>Dyrektor Wydziału Finansowego</t>
  </si>
  <si>
    <t>Biura Delegatur</t>
  </si>
  <si>
    <t>z tego:</t>
  </si>
  <si>
    <t>Delegatura Stare Miasto</t>
  </si>
  <si>
    <t>Delegatura Nowe Miasto</t>
  </si>
  <si>
    <t>Delegatura Wilda</t>
  </si>
  <si>
    <t>Delegatura Grunwald</t>
  </si>
  <si>
    <t>Delegatura Jeżyce</t>
  </si>
  <si>
    <t xml:space="preserve">                                                                  </t>
  </si>
  <si>
    <t>Dotacja przedmiotowa z budżetu dla zakładu budżetowego lub gospodarstwa pomocniczego</t>
  </si>
  <si>
    <t xml:space="preserve">         </t>
  </si>
  <si>
    <t>Dyrektor Wydziału Rolnictwa i Gospodarki Żywnościowej</t>
  </si>
  <si>
    <t>Dyrektor Wydziału Koordynacji Rozwoju</t>
  </si>
  <si>
    <t>Dyrektor Wydzialu Komunikacji</t>
  </si>
  <si>
    <t>Dyrektor Biura Promocj Gospodarczej Miasta</t>
  </si>
  <si>
    <t>Dyrektor Wydziału Działalności Gospodarczej</t>
  </si>
  <si>
    <t>"Bezpieczne Miasto"</t>
  </si>
  <si>
    <t>Dyrektor Urzędu Stanu Cywilnego</t>
  </si>
  <si>
    <t>Dyrektor Wydziału Urbanistyki i Architektury</t>
  </si>
  <si>
    <t>Dyrektor Wydziału Spraw Obywatelskich</t>
  </si>
  <si>
    <t>Wydział Mienia Komunalnego</t>
  </si>
  <si>
    <t>Samorządy pomocnicze</t>
  </si>
  <si>
    <t xml:space="preserve">                                                           OGÓŁEM:</t>
  </si>
  <si>
    <t>GW</t>
  </si>
  <si>
    <t>PW</t>
  </si>
  <si>
    <t>GZ</t>
  </si>
  <si>
    <t>PZ</t>
  </si>
  <si>
    <t xml:space="preserve">     </t>
  </si>
  <si>
    <t>Uposażenie żołnierzy zawodowych i funkcjonariuszy</t>
  </si>
  <si>
    <t xml:space="preserve">Wydatki własne powiatu </t>
  </si>
  <si>
    <t>Wydatki na "zadania zlecone" gminom oraz dotacje celowe                                           otrzymane z budżetu państwa na realizację zadań                                                                               z zakresu administracji rządowej zleconych gminie</t>
  </si>
  <si>
    <t>Wydatki ogółem</t>
  </si>
  <si>
    <t>Przedszkola przy szkołach podstawowych</t>
  </si>
  <si>
    <t xml:space="preserve">Przedszkola </t>
  </si>
  <si>
    <t>Dotacje podmiotowe z budżetu dla publicznych szkół i innych publicznych placówek oświatowo-wychowawczych</t>
  </si>
  <si>
    <t>01030</t>
  </si>
  <si>
    <t>Izby rolnicze</t>
  </si>
  <si>
    <t>Wpłaty gmin na rzecz izb rolniczych w wysokości 2% uzyskanych wpływów z podatku rolnego</t>
  </si>
  <si>
    <t>Spis powszechny i inne</t>
  </si>
  <si>
    <t>Szkoły zawodowe</t>
  </si>
  <si>
    <t>Przedszkola</t>
  </si>
  <si>
    <t>Towarzystwa Budownictwa Społecznego</t>
  </si>
  <si>
    <t xml:space="preserve">Dotacje podmiotowe z budżetu dla publicznych szkół i innych publicznych placówek oświatowo - wychowawczych </t>
  </si>
  <si>
    <t>Dotacja podmiotowa z budżetu dla zakładu budżetowego lub gospodarstwa pomocniczego</t>
  </si>
  <si>
    <t>Wpłaty na Państwowy Fundusz Rehabilitacji Osób Niepełnosprawnych</t>
  </si>
  <si>
    <t>Zakupuslug zdrowotnych</t>
  </si>
  <si>
    <t>Pozostałe odsetki</t>
  </si>
  <si>
    <t>Wydatki majątkowe oraz wydatki związane z obsługą majątku                                                                  i ważniejsze remonty</t>
  </si>
  <si>
    <t>Dyrektor Biura Prawnego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</si>
  <si>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</si>
  <si>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</si>
  <si>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</si>
  <si>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Dotacja celowa z budżetu na finansowanie lub dofinansowanie zadań zleconych do realizacji fundacjom</t>
  </si>
  <si>
    <t>Powiatowe urzędy pracy</t>
  </si>
  <si>
    <t>Opłaty na rzecz budżetów jednostek samorządu terytorialnego</t>
  </si>
  <si>
    <t>Dotacja celowa z budżetu na finansowanie lub dofinansowanie zadań zleconych do realizacji stowarzyszeniom</t>
  </si>
  <si>
    <t>Galerie i biura wystaw artystycznych</t>
  </si>
  <si>
    <t>Centra kultury i sztuki</t>
  </si>
  <si>
    <t>Muzea</t>
  </si>
  <si>
    <t>Urzędy gmin (miast i miast na prawach powiatu)</t>
  </si>
  <si>
    <t>Ośrodki szkolno-wychowawcze</t>
  </si>
  <si>
    <t>Przeciwdziałanie i ograniczanie skutków patologii społecznej</t>
  </si>
  <si>
    <t>Doksztalcanie i doskonalenie nauczycieli</t>
  </si>
  <si>
    <t>Zwrot dotacji wykorzystanych niezgodnie z przeznaczeniem lub pobranych w nadmiernej wysokości</t>
  </si>
  <si>
    <t>Odsetki od dotacji wykorzystanych niezgodnie z przeznaczeniem lub pobranych w nadmiernej wysokości</t>
  </si>
  <si>
    <t>Centra kształcenia praktycznego i ustawicznego</t>
  </si>
  <si>
    <t>Poradnie psychologiczno-pedagogiczne oraz inne por.specjal.</t>
  </si>
  <si>
    <t>Pomoc dla repatriantów</t>
  </si>
  <si>
    <t>Teatry dramatyczne i lalkowe</t>
  </si>
  <si>
    <t>Teatry muzyczne, opery, operetki</t>
  </si>
  <si>
    <t>Dotacje celowe przekazane dla powiatu na zadania bieżące realizowane na podstawie porozumień (umów) między jednostkami samorządu terytorialnego</t>
  </si>
  <si>
    <t>Dotacje celowe z budżetu na finansowanie lub dofinansowanie kosztów realizacji inwestycji i zakupów inwestycyjnych jednostek nie zalicznych do sektora finansów publicznych</t>
  </si>
  <si>
    <t>Wydatki Urzędu Gminy                                                                                              na zadania własne na rok 2002</t>
  </si>
  <si>
    <t>Wydatki Urzędu Powiatu                                                                                                  na zadania własne na rok 2002</t>
  </si>
  <si>
    <t>Wydatki Urzędu Powiatu                                                                                             na zadania zlecone na rok 2002</t>
  </si>
  <si>
    <t>Drogi publiczne w miastach na prawach powiatu</t>
  </si>
  <si>
    <t>Prezydent Miasta</t>
  </si>
  <si>
    <t>Sekretarz Miasta</t>
  </si>
  <si>
    <t xml:space="preserve">Sekretarz Miasta </t>
  </si>
  <si>
    <t>Wydatki na zadania zlecone gminom</t>
  </si>
  <si>
    <t>Lecznictwo ambulatoryjne</t>
  </si>
  <si>
    <t>Zakup środków żywności</t>
  </si>
  <si>
    <t>Szkolnictwo wyższe</t>
  </si>
  <si>
    <t>NUMER_ZADANIA</t>
  </si>
  <si>
    <t>KOD</t>
  </si>
  <si>
    <t>STATUS</t>
  </si>
  <si>
    <t>DZIAL</t>
  </si>
  <si>
    <t>ROZDZIAL</t>
  </si>
  <si>
    <t>PARAGRAF</t>
  </si>
  <si>
    <t>KWOTA</t>
  </si>
  <si>
    <t>RODZAJ_ZADANIA</t>
  </si>
  <si>
    <t>ROK</t>
  </si>
  <si>
    <t>NUMER_ZMIANY</t>
  </si>
  <si>
    <t>DATA_ZM</t>
  </si>
  <si>
    <t>IM/IM/211</t>
  </si>
  <si>
    <t>IM</t>
  </si>
  <si>
    <t>W</t>
  </si>
  <si>
    <t>900</t>
  </si>
  <si>
    <t>90001</t>
  </si>
  <si>
    <t>6050</t>
  </si>
  <si>
    <t>16/URM/08-10-02</t>
  </si>
  <si>
    <t>IM/PWIK/184</t>
  </si>
  <si>
    <t>IM/ZOZ/1</t>
  </si>
  <si>
    <t>851</t>
  </si>
  <si>
    <t>85111</t>
  </si>
  <si>
    <t>02/KFT/2002</t>
  </si>
  <si>
    <t>KFT</t>
  </si>
  <si>
    <t>926</t>
  </si>
  <si>
    <t>92695</t>
  </si>
  <si>
    <t>6230</t>
  </si>
  <si>
    <t>KFSIR/Z/I/5A</t>
  </si>
  <si>
    <t>WMK/087</t>
  </si>
  <si>
    <t>MK</t>
  </si>
  <si>
    <t>90095</t>
  </si>
  <si>
    <t>6010</t>
  </si>
  <si>
    <t>600</t>
  </si>
  <si>
    <t>60095</t>
  </si>
  <si>
    <t>BKZ/4</t>
  </si>
  <si>
    <t>MKZ</t>
  </si>
  <si>
    <t>921</t>
  </si>
  <si>
    <t>92120</t>
  </si>
  <si>
    <t>4300</t>
  </si>
  <si>
    <t>BKZ/28</t>
  </si>
  <si>
    <t>2830</t>
  </si>
  <si>
    <t>BKZ/10</t>
  </si>
  <si>
    <t>2550</t>
  </si>
  <si>
    <t>OC/5</t>
  </si>
  <si>
    <t>OC</t>
  </si>
  <si>
    <t>754</t>
  </si>
  <si>
    <t>75414</t>
  </si>
  <si>
    <t>OC/6</t>
  </si>
  <si>
    <t>75495</t>
  </si>
  <si>
    <t>OC/4</t>
  </si>
  <si>
    <t>OC/1</t>
  </si>
  <si>
    <t>POZSERWIS/6</t>
  </si>
  <si>
    <t>OR</t>
  </si>
  <si>
    <t>750</t>
  </si>
  <si>
    <t>75023</t>
  </si>
  <si>
    <t>OŚ/OŚ/10</t>
  </si>
  <si>
    <t>OŚ</t>
  </si>
  <si>
    <t>OW/P/90</t>
  </si>
  <si>
    <t>OW</t>
  </si>
  <si>
    <t>854</t>
  </si>
  <si>
    <t>85404</t>
  </si>
  <si>
    <t>WO/G/90</t>
  </si>
  <si>
    <t>801</t>
  </si>
  <si>
    <t>80110</t>
  </si>
  <si>
    <t>OW/SP/95</t>
  </si>
  <si>
    <t>80101</t>
  </si>
  <si>
    <t>OW/27A</t>
  </si>
  <si>
    <t>SOGR/OW/1</t>
  </si>
  <si>
    <t>4270</t>
  </si>
  <si>
    <t>OW/47</t>
  </si>
  <si>
    <t>80120</t>
  </si>
  <si>
    <t>WKFIT/POSIR/2</t>
  </si>
  <si>
    <t>POSRA</t>
  </si>
  <si>
    <t>6210</t>
  </si>
  <si>
    <t>WKFIT/POSIR/1</t>
  </si>
  <si>
    <t>POSRC</t>
  </si>
  <si>
    <t>WKFIT/POSIR/18</t>
  </si>
  <si>
    <t>WKFIT/POSIR/4</t>
  </si>
  <si>
    <t>POSRM</t>
  </si>
  <si>
    <t>POZSERWIS/5</t>
  </si>
  <si>
    <t>POZSERW</t>
  </si>
  <si>
    <t>OW/15'</t>
  </si>
  <si>
    <t>ZMP</t>
  </si>
  <si>
    <t>6800</t>
  </si>
  <si>
    <t>KFSIR/Z/I/5</t>
  </si>
  <si>
    <t>ZSS/ZOZ/03</t>
  </si>
  <si>
    <t>ZSS</t>
  </si>
  <si>
    <t>6220</t>
  </si>
  <si>
    <t>ZSS/ZOZ/02</t>
  </si>
  <si>
    <t>WZISS/SPZOZ/1</t>
  </si>
  <si>
    <t>85195</t>
  </si>
  <si>
    <t>WZISS/AWF/1</t>
  </si>
  <si>
    <t>803</t>
  </si>
  <si>
    <t>80395</t>
  </si>
  <si>
    <t>ZSS/POSUM/01</t>
  </si>
  <si>
    <t>85121</t>
  </si>
  <si>
    <t>ZSS/ZOL/01</t>
  </si>
  <si>
    <t>85117</t>
  </si>
  <si>
    <t>GMINA_POWIAT</t>
  </si>
  <si>
    <t>04ZMP2002</t>
  </si>
  <si>
    <t>80102</t>
  </si>
  <si>
    <t>4810</t>
  </si>
  <si>
    <t>80111</t>
  </si>
  <si>
    <t>80121</t>
  </si>
  <si>
    <t>80130</t>
  </si>
  <si>
    <t>06OW2002</t>
  </si>
  <si>
    <t>2540</t>
  </si>
  <si>
    <t>80132</t>
  </si>
  <si>
    <t>80133</t>
  </si>
  <si>
    <t>80134</t>
  </si>
  <si>
    <t>80140</t>
  </si>
  <si>
    <t>ZSS/ZOL/01P</t>
  </si>
  <si>
    <t>2560</t>
  </si>
  <si>
    <t>09SO2002PZ</t>
  </si>
  <si>
    <t>SO</t>
  </si>
  <si>
    <t>Z</t>
  </si>
  <si>
    <t>853</t>
  </si>
  <si>
    <t>85334</t>
  </si>
  <si>
    <t>3110</t>
  </si>
  <si>
    <t>85401</t>
  </si>
  <si>
    <t>85403</t>
  </si>
  <si>
    <t>85406</t>
  </si>
  <si>
    <t>85407</t>
  </si>
  <si>
    <t>85410</t>
  </si>
  <si>
    <t>85417</t>
  </si>
  <si>
    <t>04'IM2002</t>
  </si>
  <si>
    <t>4610</t>
  </si>
  <si>
    <t>12OR2002</t>
  </si>
  <si>
    <t>751</t>
  </si>
  <si>
    <t>75109</t>
  </si>
  <si>
    <t>4210</t>
  </si>
  <si>
    <t>4110</t>
  </si>
  <si>
    <t>4120</t>
  </si>
  <si>
    <t>4410</t>
  </si>
  <si>
    <t>NRR</t>
  </si>
  <si>
    <t>Wybory do rad gmin, rad powiatów i sejmików województw oraz referenda gminne, powiatowe i wojewódzkie</t>
  </si>
  <si>
    <t>Pozostałe instytucje kultury</t>
  </si>
  <si>
    <t>Wydatki bieżące</t>
  </si>
  <si>
    <t xml:space="preserve">Załącznik Nr 8                                                    do Zarządzenia Nr                                            Prezydenta Miasta Poznania                                                    z dn.                                                                 stanowiący korektę                                              Załącznika Nr 8                                                  do Zarządzenia Nr 27A                                       </t>
  </si>
  <si>
    <t xml:space="preserve">Załącznik Nr 6                                                     do Zarządzenia Nr                                             Prezydenta Miasta Poznania                                                    z dn.                                                                   stanowiący korektę                                              Załącznika Nr 6                                                  do Zarządzenia Nr 52                                    </t>
  </si>
  <si>
    <t xml:space="preserve">Załącznik Nr 7                                                    do Zarządzenia Nr                                               Prezydenta Miasta Poznania                                                    z dn.                                           stanowiący korektę                                              Załącznika Nr 7                                                  do Zarządzenia Nr 52                                        </t>
  </si>
  <si>
    <t xml:space="preserve">Załącznik Nr 5                                                    do Zarządzenia Nr                                                Prezydenta Miasta Poznania                                                    z dn.                                                                 stanowiący korektę                                              Załącznika Nr 5                                                 do Zarządzenia Nr 52                                   </t>
  </si>
  <si>
    <t xml:space="preserve">Załącznik Nr 4                                                    do Zarządzenia Nr                                                Prezydenta Miasta Poznania                                                    z dn.                                                                    stanowiący korektę                                              Załącznika Nr 4                                                  do Zarządzenia Nr 52                               </t>
  </si>
  <si>
    <t xml:space="preserve">Załącznik Nr 3                                                    do Zarządzenia Nr                                                Prezydenta Miasta Poznania                                                    z dn.                                                                  stanowiący korektę                                              Załącznika Nr 3                                                  do Zarządzenia Nr 52                                         </t>
  </si>
  <si>
    <t xml:space="preserve">Załącznik Nr 2                                                    do Zarządzenia Nr                                                Prezydenta Miasta Poznania                                                    z dn.                                                                   stanowiący korektę                                              Załącznika Nr 2                                                  do Zarządzenia Nr 52                         </t>
  </si>
  <si>
    <t xml:space="preserve">Załącznik Nr 1                                                    do Zarządzenia Nr                                                Prezydenta Miasta Poznania                                                    z dn.                                                                  stanowiący korektę                                              Załącznika Nr 1                                                  do Zarządzenia Nr 52                                    </t>
  </si>
</sst>
</file>

<file path=xl/styles.xml><?xml version="1.0" encoding="utf-8"?>
<styleSheet xmlns="http://schemas.openxmlformats.org/spreadsheetml/2006/main">
  <numFmts count="20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000000"/>
    <numFmt numFmtId="182" formatCode="_(* #,##0_);_(* \(#,##0\);_(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E+00"/>
    <numFmt numFmtId="186" formatCode="0.0E+00"/>
    <numFmt numFmtId="187" formatCode="&quot;$&quot;#,##0.00"/>
    <numFmt numFmtId="188" formatCode="#,##0.000_);\(#,##0.00\)"/>
    <numFmt numFmtId="189" formatCode="#,##0.000\);[Red]\(#,##0.00\)"/>
    <numFmt numFmtId="190" formatCode="#,##0.000;[Red]\(#,##0.00\)"/>
    <numFmt numFmtId="191" formatCode="#,##0.000;[Red]#,##0.000"/>
    <numFmt numFmtId="192" formatCode="#,##0.000;\(#,##0.000\)"/>
    <numFmt numFmtId="193" formatCode="0.000_)"/>
    <numFmt numFmtId="194" formatCode="#,##0.000_);\(#,##0.000\)"/>
    <numFmt numFmtId="195" formatCode="#,##0.000\);\(#,##0.000\)"/>
    <numFmt numFmtId="196" formatCode="#,##0.000;\(#,##0.00\)"/>
    <numFmt numFmtId="197" formatCode="&quot;US$&quot;#,##0_);\(&quot;US$&quot;#,##0\)"/>
    <numFmt numFmtId="198" formatCode="&quot;US$&quot;#,##0_);[Red]\(&quot;US$&quot;#,##0\)"/>
    <numFmt numFmtId="199" formatCode="&quot;US$&quot;#,##0.00_);\(&quot;US$&quot;#,##0.00\)"/>
    <numFmt numFmtId="200" formatCode="&quot;US$&quot;#,##0.00_);[Red]\(&quot;US$&quot;#,##0.00\)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(* #,##0.000000_);_(* \(#,##0.000000\);_(* &quot;-&quot;??_);_(@_)"/>
    <numFmt numFmtId="210" formatCode="_-* #,##0.000_-;\-* #,##0.000_-;_-* &quot;-&quot;??_-;_-@_-"/>
    <numFmt numFmtId="211" formatCode="_-* #,##0.0000_-;\-* #,##0.0000_-;_-* &quot;-&quot;??_-;_-@_-"/>
    <numFmt numFmtId="212" formatCode="_-* #,##0.0_-;\-* #,##0.0_-;_-* &quot;-&quot;??_-;_-@_-"/>
    <numFmt numFmtId="213" formatCode="_-* #,##0_-;\-* #,##0_-;_-* &quot;-&quot;??_-;_-@_-"/>
    <numFmt numFmtId="214" formatCode="_(* #,##0.00000_);_(* \(#,##0.00000\);_(* &quot;-&quot;??_);_(@_)"/>
    <numFmt numFmtId="215" formatCode="_(* #,##0.0000_);_(* \(#,##0.0000\);_(* &quot;-&quot;??_);_(@_)"/>
    <numFmt numFmtId="216" formatCode="_(* #,##0.000_);_(* \(#,##0.000\);_(* &quot;-&quot;??_);_(@_)"/>
    <numFmt numFmtId="217" formatCode="_(* #,##0.0_);_(* \(#,##0.0\);_(* &quot;-&quot;??_);_(@_)"/>
    <numFmt numFmtId="218" formatCode="dd\-mmm\-yy"/>
    <numFmt numFmtId="219" formatCode="_(&quot;$&quot;* #,##0.00000_);_(&quot;$&quot;* \(#,##0.00000\);_(&quot;$&quot;* &quot;-&quot;??_);_(@_)"/>
    <numFmt numFmtId="220" formatCode="m/d"/>
    <numFmt numFmtId="221" formatCode="0_)"/>
    <numFmt numFmtId="222" formatCode="0.0%"/>
    <numFmt numFmtId="223" formatCode="mmm"/>
    <numFmt numFmtId="224" formatCode="0.0_);[Red]\(0.0\)"/>
    <numFmt numFmtId="225" formatCode="00000"/>
    <numFmt numFmtId="226" formatCode="m/d/yy\ h:mm\ AM/PM"/>
    <numFmt numFmtId="227" formatCode="0_);[Red]\(0\)"/>
    <numFmt numFmtId="228" formatCode="0.00_);[Red]\(0.00\)"/>
    <numFmt numFmtId="229" formatCode="0.0_)"/>
    <numFmt numFmtId="230" formatCode="&quot;$&quot;#,##0.0000_);\(&quot;$&quot;#,##0.0000\)"/>
    <numFmt numFmtId="231" formatCode="&quot;L&quot;#,##0_);\(&quot;L&quot;#,##0\)"/>
    <numFmt numFmtId="232" formatCode="&quot;L&quot;#,##0_);[Red]\(&quot;L&quot;#,##0\)"/>
    <numFmt numFmtId="233" formatCode="&quot;L&quot;#,##0.00_);\(&quot;L&quot;#,##0.00\)"/>
    <numFmt numFmtId="234" formatCode="&quot;L&quot;#,##0.00_);[Red]\(&quot;L&quot;#,##0.00\)"/>
    <numFmt numFmtId="235" formatCode="_(&quot;L&quot;* #,##0_);_(&quot;L&quot;* \(#,##0\);_(&quot;L&quot;* &quot;-&quot;_);_(@_)"/>
    <numFmt numFmtId="236" formatCode="_(&quot;L&quot;* #,##0.00_);_(&quot;L&quot;* \(#,##0.00\);_(&quot;L&quot;* &quot;-&quot;??_);_(@_)"/>
    <numFmt numFmtId="237" formatCode="#,##0.0_);[Red]\(#,##0.0\)"/>
    <numFmt numFmtId="238" formatCode="&quot;R&quot;\ #,##0;&quot;R&quot;\ \-#,##0"/>
    <numFmt numFmtId="239" formatCode="&quot;R&quot;\ #,##0;[Red]&quot;R&quot;\ \-#,##0"/>
    <numFmt numFmtId="240" formatCode="&quot;R&quot;\ #,##0.00;&quot;R&quot;\ \-#,##0.00"/>
    <numFmt numFmtId="241" formatCode="&quot;R&quot;\ #,##0.00;[Red]&quot;R&quot;\ \-#,##0.00"/>
    <numFmt numFmtId="242" formatCode="_ &quot;R&quot;\ * #,##0_ ;_ &quot;R&quot;\ * \-#,##0_ ;_ &quot;R&quot;\ * &quot;-&quot;_ ;_ @_ "/>
    <numFmt numFmtId="243" formatCode="_ * #,##0_ ;_ * \-#,##0_ ;_ * &quot;-&quot;_ ;_ @_ "/>
    <numFmt numFmtId="244" formatCode="_ &quot;R&quot;\ * #,##0.00_ ;_ &quot;R&quot;\ * \-#,##0.00_ ;_ &quot;R&quot;\ * &quot;-&quot;??_ ;_ @_ "/>
    <numFmt numFmtId="245" formatCode="_ * #,##0.00_ ;_ * \-#,##0.00_ ;_ * &quot;-&quot;??_ ;_ @_ "/>
    <numFmt numFmtId="246" formatCode="#,##0.0"/>
    <numFmt numFmtId="247" formatCode="#,##0.000"/>
    <numFmt numFmtId="248" formatCode="#,##0;\(#,##0\)"/>
    <numFmt numFmtId="249" formatCode="&quot;Ł&quot;#,##0;\-&quot;Ł&quot;#,##0"/>
    <numFmt numFmtId="250" formatCode="&quot;Ł&quot;#,##0;[Red]\-&quot;Ł&quot;#,##0"/>
    <numFmt numFmtId="251" formatCode="&quot;Ł&quot;#,##0.00;\-&quot;Ł&quot;#,##0.00"/>
    <numFmt numFmtId="252" formatCode="&quot;Ł&quot;#,##0.00;[Red]\-&quot;Ł&quot;#,##0.00"/>
    <numFmt numFmtId="253" formatCode="_-&quot;Ł&quot;* #,##0_-;\-&quot;Ł&quot;* #,##0_-;_-&quot;Ł&quot;* &quot;-&quot;_-;_-@_-"/>
    <numFmt numFmtId="254" formatCode="_-&quot;Ł&quot;* #,##0.00_-;\-&quot;Ł&quot;* #,##0.00_-;_-&quot;Ł&quot;* &quot;-&quot;??_-;_-@_-"/>
    <numFmt numFmtId="255" formatCode="#,##0.0;[Red]\-#,##0.0"/>
    <numFmt numFmtId="256" formatCode="#,##0.000;[Red]\-#,##0.000"/>
    <numFmt numFmtId="257" formatCode="#,##0.000_);[Red]\(#,##0.000\)"/>
    <numFmt numFmtId="258" formatCode="#,##0.0000;[Red]\-#,##0.0000"/>
    <numFmt numFmtId="259" formatCode="0.000%"/>
    <numFmt numFmtId="260" formatCode="###0_);[Red]\(###0\)"/>
    <numFmt numFmtId="261" formatCode="###0.0_);[Red]\(###0.0\)"/>
    <numFmt numFmtId="262" formatCode="###0.00_);[Red]\(###0.00\)"/>
    <numFmt numFmtId="263" formatCode="###0.000_);[Red]\(###0.000\)"/>
    <numFmt numFmtId="264" formatCode="###0.0000_);[Red]\(###0.0000\)"/>
    <numFmt numFmtId="265" formatCode="###0;[Red]\-###0"/>
    <numFmt numFmtId="266" formatCode="#,##0.00000;[Red]\-#,##0.00000"/>
    <numFmt numFmtId="267" formatCode="#,##0.000000;[Red]\-#,##0.000000"/>
    <numFmt numFmtId="268" formatCode="#,##0.0000000;[Red]\-#,##0.0000000"/>
    <numFmt numFmtId="269" formatCode="#,##0.00000000;[Red]\-#,##0.00000000"/>
    <numFmt numFmtId="270" formatCode="#,##0.000000000;[Red]\-#,##0.000000000"/>
    <numFmt numFmtId="271" formatCode="#,##0.0000000000;[Red]\-#,##0.0000000000"/>
    <numFmt numFmtId="272" formatCode="#,##0.00000000000;[Red]\-#,##0.00000000000"/>
    <numFmt numFmtId="273" formatCode="###0.0;[Red]\-###0.0"/>
    <numFmt numFmtId="274" formatCode="###0.00;[Red]\-###0.00"/>
    <numFmt numFmtId="275" formatCode="#,##0.0000_);[Red]\(#,##0.0000\)"/>
    <numFmt numFmtId="276" formatCode="0.0000%"/>
    <numFmt numFmtId="277" formatCode="0.00000%"/>
    <numFmt numFmtId="278" formatCode="0.000000%"/>
    <numFmt numFmtId="279" formatCode="#,##0.0000"/>
    <numFmt numFmtId="280" formatCode="#,##0.00000"/>
    <numFmt numFmtId="281" formatCode="#,##0.000000"/>
    <numFmt numFmtId="282" formatCode="###0.000;[Red]\-###0.000"/>
    <numFmt numFmtId="283" formatCode="###0.0000;[Red]\-###0.0000"/>
    <numFmt numFmtId="284" formatCode="#,##0.00000_);[Red]\(#,##0.00000\)"/>
    <numFmt numFmtId="285" formatCode="#,##0.0000000"/>
    <numFmt numFmtId="286" formatCode="0.00000000"/>
    <numFmt numFmtId="287" formatCode="0.000000000"/>
    <numFmt numFmtId="288" formatCode="0.0000000000"/>
    <numFmt numFmtId="289" formatCode="0.00_)"/>
    <numFmt numFmtId="290" formatCode="#,##0.000000_);[Red]\(#,##0.000000\)"/>
    <numFmt numFmtId="291" formatCode="#,##0.0000_);\(#,##0.0000\)"/>
    <numFmt numFmtId="292" formatCode="###0.00000_);[Red]\(###0.00000\)"/>
    <numFmt numFmtId="293" formatCode="###0.000000_);[Red]\(###0.000000\)"/>
    <numFmt numFmtId="294" formatCode="###0.0000000_);[Red]\(###0.0000000\)"/>
    <numFmt numFmtId="295" formatCode="###0.00000000_);[Red]\(###0.00000000\)"/>
    <numFmt numFmtId="296" formatCode="#,##0.0_);\(#,##0.0\)"/>
    <numFmt numFmtId="297" formatCode="General_)"/>
    <numFmt numFmtId="298" formatCode="#,##0.00000000"/>
    <numFmt numFmtId="299" formatCode="0%;\(0%\)"/>
    <numFmt numFmtId="300" formatCode="#,###.0_);\(#,##0.0\)"/>
    <numFmt numFmtId="301" formatCode="##,##0.0_);\(#,##0.0\)"/>
    <numFmt numFmtId="302" formatCode="#,##0\)"/>
    <numFmt numFmtId="303" formatCode="0.0%;\(0.0%\)"/>
    <numFmt numFmtId="304" formatCode="#,##0.0000_)"/>
    <numFmt numFmtId="305" formatCode="0\);"/>
    <numFmt numFmtId="306" formatCode="##,##0.000_);\(#,##0.000\)"/>
    <numFmt numFmtId="307" formatCode="#,##0;[Red]\(#,##0\)"/>
    <numFmt numFmtId="308" formatCode="#,##0.00;[Red]\(#,##0.00\)"/>
    <numFmt numFmtId="309" formatCode="##,##0.00_);\(#,##0.00\)"/>
    <numFmt numFmtId="310" formatCode=";;;"/>
    <numFmt numFmtId="311" formatCode="#,##0.0_);\(#,##0.00\)"/>
    <numFmt numFmtId="312" formatCode="#,##0.00000_);\(#,##0.00000\)"/>
    <numFmt numFmtId="313" formatCode="#,##0.000000_);\(#,##0.000000\)"/>
    <numFmt numFmtId="314" formatCode="#,###.00_);\(#,##0.00\)"/>
    <numFmt numFmtId="315" formatCode="#,###.000_);\(#,##0.000\)"/>
    <numFmt numFmtId="316" formatCode="_(* #,##0.0000000_);_(* \(#,##0.0000000\);_(* &quot;-&quot;??_);_(@_)"/>
    <numFmt numFmtId="317" formatCode="_(* #,##0.00000000_);_(* \(#,##0.00000000\);_(* &quot;-&quot;??_);_(@_)"/>
    <numFmt numFmtId="318" formatCode="_(* #,##0.000000000_);_(* \(#,##0.000000000\);_(* &quot;-&quot;??_);_(@_)"/>
    <numFmt numFmtId="319" formatCode="_(* #,##0.0000000000_);_(* \(#,##0.0000000000\);_(* &quot;-&quot;??_);_(@_)"/>
    <numFmt numFmtId="320" formatCode="_(* #,##0.00000000000_);_(* \(#,##0.00000000000\);_(* &quot;-&quot;??_);_(@_)"/>
    <numFmt numFmtId="321" formatCode="_(* #,##0.000000000000_);_(* \(#,##0.000000000000\);_(* &quot;-&quot;??_);_(@_)"/>
    <numFmt numFmtId="322" formatCode="_(* #,##0.0000000000000_);_(* \(#,##0.0000000000000\);_(* &quot;-&quot;??_);_(@_)"/>
    <numFmt numFmtId="323" formatCode="0%\);[Red]\(0%\)"/>
    <numFmt numFmtId="324" formatCode="0%\);[Red]\(0%"/>
    <numFmt numFmtId="325" formatCode="0%_);[Red]\(0%\)"/>
    <numFmt numFmtId="326" formatCode="mmm\.\ d\ \'yy\ \a\t\ h:mm"/>
    <numFmt numFmtId="327" formatCode="&quot;$&quot;#,##0.0_);[Red]\(&quot;$&quot;#,##0.0\)"/>
    <numFmt numFmtId="328" formatCode="000000"/>
    <numFmt numFmtId="329" formatCode="mm/dd/yy"/>
    <numFmt numFmtId="330" formatCode="000\-000000"/>
    <numFmt numFmtId="331" formatCode="dd\-mmm\-yy_)"/>
    <numFmt numFmtId="332" formatCode="&quot;$&quot;#,##0.0_);\(&quot;$&quot;#,##0.0\)"/>
    <numFmt numFmtId="333" formatCode="&quot;$&quot;#,##0.0"/>
    <numFmt numFmtId="334" formatCode="#,##0&quot;Ł&quot;_);\(#,##0&quot;Ł&quot;\)"/>
    <numFmt numFmtId="335" formatCode="#,##0&quot;Ł&quot;_);[Red]\(#,##0&quot;Ł&quot;\)"/>
    <numFmt numFmtId="336" formatCode="#,##0.00&quot;Ł&quot;_);\(#,##0.00&quot;Ł&quot;\)"/>
    <numFmt numFmtId="337" formatCode="#,##0.00&quot;Ł&quot;_);[Red]\(#,##0.00&quot;Ł&quot;\)"/>
    <numFmt numFmtId="338" formatCode="_ * #,##0_)&quot;Ł&quot;_ ;_ * \(#,##0\)&quot;Ł&quot;_ ;_ * &quot;-&quot;_)&quot;Ł&quot;_ ;_ @_ "/>
    <numFmt numFmtId="339" formatCode="_ * #,##0_)_Ł_ ;_ * \(#,##0\)_Ł_ ;_ * &quot;-&quot;_)_Ł_ ;_ @_ "/>
    <numFmt numFmtId="340" formatCode="_ * #,##0.00_)&quot;Ł&quot;_ ;_ * \(#,##0.00\)&quot;Ł&quot;_ ;_ * &quot;-&quot;??_)&quot;Ł&quot;_ ;_ @_ "/>
    <numFmt numFmtId="341" formatCode="_ * #,##0.00_)_Ł_ ;_ * \(#,##0.00\)_Ł_ ;_ * &quot;-&quot;??_)_Ł_ ;_ @_ "/>
    <numFmt numFmtId="342" formatCode="#,##0\ &quot;F&quot;;\-#,##0\ &quot;F&quot;"/>
    <numFmt numFmtId="343" formatCode="#,##0\ &quot;F&quot;;[Red]\-#,##0\ &quot;F&quot;"/>
    <numFmt numFmtId="344" formatCode="#,##0.00\ &quot;F&quot;;\-#,##0.00\ &quot;F&quot;"/>
    <numFmt numFmtId="345" formatCode="#,##0.00\ &quot;F&quot;;[Red]\-#,##0.00\ &quot;F&quot;"/>
    <numFmt numFmtId="346" formatCode="_-* #,##0\ &quot;F&quot;_-;\-* #,##0\ &quot;F&quot;_-;_-* &quot;-&quot;\ &quot;F&quot;_-;_-@_-"/>
    <numFmt numFmtId="347" formatCode="_-* #,##0\ _F_-;\-* #,##0\ _F_-;_-* &quot;-&quot;\ _F_-;_-@_-"/>
    <numFmt numFmtId="348" formatCode="_-* #,##0.00\ &quot;F&quot;_-;\-* #,##0.00\ &quot;F&quot;_-;_-* &quot;-&quot;??\ &quot;F&quot;_-;_-@_-"/>
    <numFmt numFmtId="349" formatCode="_-* #,##0.00\ _F_-;\-* #,##0.00\ _F_-;_-* &quot;-&quot;??\ _F_-;_-@_-"/>
    <numFmt numFmtId="350" formatCode="d/m/yy"/>
    <numFmt numFmtId="351" formatCode="d/m/yy\ h:mm"/>
    <numFmt numFmtId="352" formatCode="#,##0&quot; F&quot;_);\(#,##0&quot; F&quot;\)"/>
    <numFmt numFmtId="353" formatCode="#,##0&quot; F&quot;_);[Red]\(#,##0&quot; F&quot;\)"/>
    <numFmt numFmtId="354" formatCode="#,##0.00&quot; F&quot;_);\(#,##0.00&quot; F&quot;\)"/>
    <numFmt numFmtId="355" formatCode="#,##0.00&quot; F&quot;_);[Red]\(#,##0.00&quot; F&quot;\)"/>
    <numFmt numFmtId="356" formatCode="#,##0&quot; $&quot;;\-#,##0&quot; $&quot;"/>
    <numFmt numFmtId="357" formatCode="#,##0&quot; $&quot;;[Red]\-#,##0&quot; $&quot;"/>
    <numFmt numFmtId="358" formatCode="#,##0.00&quot; $&quot;;\-#,##0.00&quot; $&quot;"/>
    <numFmt numFmtId="359" formatCode="#,##0.00&quot; $&quot;;[Red]\-#,##0.00&quot; $&quot;"/>
    <numFmt numFmtId="360" formatCode="d\.m\.yy"/>
  </numFmts>
  <fonts count="50">
    <font>
      <sz val="10"/>
      <color indexed="8"/>
      <name val="MS Sans Serif"/>
      <family val="0"/>
    </font>
    <font>
      <sz val="12"/>
      <color indexed="8"/>
      <name val="Arial CE"/>
      <family val="0"/>
    </font>
    <font>
      <i/>
      <sz val="10"/>
      <color indexed="8"/>
      <name val="Arial CE"/>
      <family val="0"/>
    </font>
    <font>
      <i/>
      <sz val="8"/>
      <color indexed="8"/>
      <name val="Arial CE"/>
      <family val="0"/>
    </font>
    <font>
      <sz val="8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Arial CE"/>
      <family val="0"/>
    </font>
    <font>
      <i/>
      <sz val="8"/>
      <color indexed="8"/>
      <name val="Arial"/>
      <family val="0"/>
    </font>
    <font>
      <i/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b/>
      <sz val="10"/>
      <color indexed="8"/>
      <name val="MS Sans Serif"/>
      <family val="2"/>
    </font>
    <font>
      <sz val="10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·s˛Ó©úĹé"/>
      <family val="0"/>
    </font>
    <font>
      <sz val="10"/>
      <name val="Helv"/>
      <family val="0"/>
    </font>
    <font>
      <sz val="10"/>
      <name val="Arial CE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b/>
      <i/>
      <sz val="14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Tahoma"/>
      <family val="2"/>
    </font>
    <font>
      <sz val="10"/>
      <color indexed="10"/>
      <name val="MS Sans Serif"/>
      <family val="2"/>
    </font>
    <font>
      <sz val="10"/>
      <color indexed="48"/>
      <name val="MS Sans Serif"/>
      <family val="0"/>
    </font>
    <font>
      <i/>
      <sz val="10"/>
      <name val="Arial"/>
      <family val="0"/>
    </font>
    <font>
      <b/>
      <sz val="10"/>
      <name val="MS Sans Serif"/>
      <family val="2"/>
    </font>
    <font>
      <b/>
      <sz val="12"/>
      <name val="Arial"/>
      <family val="0"/>
    </font>
    <font>
      <i/>
      <sz val="8"/>
      <name val="Arial"/>
      <family val="2"/>
    </font>
    <font>
      <i/>
      <sz val="8"/>
      <name val="Arial CE"/>
      <family val="0"/>
    </font>
    <font>
      <i/>
      <sz val="10"/>
      <color indexed="14"/>
      <name val="MS Sans Serif"/>
      <family val="0"/>
    </font>
    <font>
      <sz val="10"/>
      <color indexed="8"/>
      <name val="Times New Roman CE"/>
      <family val="1"/>
    </font>
    <font>
      <b/>
      <sz val="12"/>
      <name val="Arial CE"/>
      <family val="0"/>
    </font>
    <font>
      <b/>
      <i/>
      <sz val="8"/>
      <name val="Arial CE"/>
      <family val="2"/>
    </font>
    <font>
      <b/>
      <i/>
      <sz val="9"/>
      <name val="Arial CE"/>
      <family val="2"/>
    </font>
    <font>
      <sz val="8"/>
      <color indexed="9"/>
      <name val="Arial CE"/>
      <family val="2"/>
    </font>
    <font>
      <i/>
      <sz val="10"/>
      <name val="MS Sans Serif"/>
      <family val="0"/>
    </font>
    <font>
      <b/>
      <i/>
      <sz val="9"/>
      <color indexed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4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47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347" fontId="13" fillId="0" borderId="0" applyFont="0" applyFill="0" applyBorder="0" applyAlignment="0" applyProtection="0"/>
    <xf numFmtId="347" fontId="1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206" fontId="15" fillId="0" borderId="0" applyFont="0" applyFill="0" applyBorder="0" applyAlignment="0" applyProtection="0"/>
    <xf numFmtId="38" fontId="12" fillId="0" borderId="0" applyFont="0" applyFill="0" applyBorder="0" applyAlignment="0" applyProtection="0"/>
    <xf numFmtId="206" fontId="15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349" fontId="13" fillId="0" borderId="0" applyFont="0" applyFill="0" applyBorder="0" applyAlignment="0" applyProtection="0"/>
    <xf numFmtId="349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349" fontId="14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" fontId="16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38" fontId="12" fillId="0" borderId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ill="0" applyBorder="0" applyAlignment="0" applyProtection="0"/>
    <xf numFmtId="38" fontId="12" fillId="0" borderId="0" applyFill="0" applyBorder="0" applyAlignment="0" applyProtection="0"/>
    <xf numFmtId="43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5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34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346" fontId="13" fillId="0" borderId="0" applyFont="0" applyFill="0" applyBorder="0" applyAlignment="0" applyProtection="0"/>
    <xf numFmtId="346" fontId="1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5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205" fontId="15" fillId="0" borderId="0" applyFont="0" applyFill="0" applyBorder="0" applyAlignment="0" applyProtection="0"/>
    <xf numFmtId="25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5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348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348" fontId="14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359" fontId="16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207" fontId="15" fillId="0" borderId="0" applyFont="0" applyFill="0" applyBorder="0" applyAlignment="0" applyProtection="0"/>
    <xf numFmtId="25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25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0" fontId="18" fillId="3" borderId="1" applyNumberFormat="0" applyBorder="0" applyAlignment="0" applyProtection="0"/>
    <xf numFmtId="10" fontId="18" fillId="3" borderId="1" applyNumberFormat="0" applyBorder="0" applyAlignment="0" applyProtection="0"/>
    <xf numFmtId="289" fontId="19" fillId="0" borderId="0">
      <alignment/>
      <protection/>
    </xf>
    <xf numFmtId="289" fontId="1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0" fillId="0" borderId="2">
      <alignment/>
      <protection/>
    </xf>
    <xf numFmtId="0" fontId="21" fillId="0" borderId="0">
      <alignment/>
      <protection/>
    </xf>
    <xf numFmtId="0" fontId="20" fillId="0" borderId="2">
      <alignment/>
      <protection/>
    </xf>
    <xf numFmtId="0" fontId="21" fillId="0" borderId="0">
      <alignment/>
      <protection/>
    </xf>
    <xf numFmtId="0" fontId="13" fillId="0" borderId="0">
      <alignment wrapText="1"/>
      <protection/>
    </xf>
    <xf numFmtId="0" fontId="13" fillId="0" borderId="0">
      <alignment/>
      <protection/>
    </xf>
    <xf numFmtId="0" fontId="13" fillId="0" borderId="0">
      <alignment wrapText="1"/>
      <protection/>
    </xf>
    <xf numFmtId="0" fontId="13" fillId="0" borderId="0">
      <alignment/>
      <protection/>
    </xf>
    <xf numFmtId="0" fontId="14" fillId="0" borderId="0">
      <alignment/>
      <protection/>
    </xf>
    <xf numFmtId="0" fontId="20" fillId="0" borderId="2">
      <alignment/>
      <protection/>
    </xf>
    <xf numFmtId="0" fontId="14" fillId="0" borderId="0">
      <alignment/>
      <protection/>
    </xf>
    <xf numFmtId="0" fontId="20" fillId="0" borderId="2">
      <alignment/>
      <protection/>
    </xf>
    <xf numFmtId="0" fontId="22" fillId="0" borderId="0">
      <alignment/>
      <protection/>
    </xf>
    <xf numFmtId="0" fontId="13" fillId="0" borderId="0">
      <alignment wrapText="1"/>
      <protection/>
    </xf>
    <xf numFmtId="0" fontId="22" fillId="0" borderId="0">
      <alignment/>
      <protection/>
    </xf>
    <xf numFmtId="0" fontId="13" fillId="0" borderId="0">
      <alignment wrapText="1"/>
      <protection/>
    </xf>
    <xf numFmtId="0" fontId="13" fillId="0" borderId="0" applyBorder="0">
      <alignment/>
      <protection/>
    </xf>
    <xf numFmtId="0" fontId="14" fillId="0" borderId="0">
      <alignment/>
      <protection/>
    </xf>
    <xf numFmtId="0" fontId="13" fillId="0" borderId="0" applyBorder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89" fontId="23" fillId="0" borderId="0">
      <alignment/>
      <protection/>
    </xf>
    <xf numFmtId="0" fontId="13" fillId="0" borderId="0">
      <alignment/>
      <protection/>
    </xf>
    <xf numFmtId="289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" fontId="12" fillId="0" borderId="0">
      <alignment/>
      <protection/>
    </xf>
    <xf numFmtId="3" fontId="12" fillId="0" borderId="0">
      <alignment/>
      <protection/>
    </xf>
    <xf numFmtId="297" fontId="23" fillId="0" borderId="0">
      <alignment/>
      <protection/>
    </xf>
    <xf numFmtId="297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60" fontId="0" fillId="0" borderId="0">
      <alignment horizontal="left"/>
      <protection/>
    </xf>
    <xf numFmtId="360" fontId="0" fillId="0" borderId="0">
      <alignment horizontal="left"/>
      <protection/>
    </xf>
    <xf numFmtId="360" fontId="0" fillId="0" borderId="0">
      <alignment horizontal="left"/>
      <protection/>
    </xf>
    <xf numFmtId="360" fontId="0" fillId="0" borderId="0">
      <alignment horizontal="left"/>
      <protection/>
    </xf>
    <xf numFmtId="10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7" fillId="0" borderId="0" xfId="403" applyFont="1">
      <alignment/>
      <protection/>
    </xf>
    <xf numFmtId="3" fontId="25" fillId="0" borderId="0" xfId="0" applyNumberFormat="1" applyFont="1" applyAlignment="1">
      <alignment vertical="top" wrapText="1"/>
    </xf>
    <xf numFmtId="0" fontId="26" fillId="0" borderId="0" xfId="403" applyFont="1" applyBorder="1">
      <alignment/>
      <protection/>
    </xf>
    <xf numFmtId="0" fontId="17" fillId="0" borderId="0" xfId="403" applyFont="1" applyBorder="1">
      <alignment/>
      <protection/>
    </xf>
    <xf numFmtId="4" fontId="27" fillId="4" borderId="4" xfId="403" applyNumberFormat="1" applyFont="1" applyFill="1" applyBorder="1" applyAlignment="1">
      <alignment vertical="center"/>
      <protection/>
    </xf>
    <xf numFmtId="0" fontId="26" fillId="0" borderId="0" xfId="409" applyFont="1" applyBorder="1">
      <alignment/>
      <protection/>
    </xf>
    <xf numFmtId="0" fontId="28" fillId="0" borderId="5" xfId="403" applyFont="1" applyFill="1" applyBorder="1" applyAlignment="1">
      <alignment horizontal="center" vertical="center"/>
      <protection/>
    </xf>
    <xf numFmtId="0" fontId="28" fillId="0" borderId="6" xfId="403" applyFont="1" applyFill="1" applyBorder="1" applyAlignment="1">
      <alignment horizontal="center" vertical="center"/>
      <protection/>
    </xf>
    <xf numFmtId="0" fontId="28" fillId="0" borderId="7" xfId="403" applyFont="1" applyFill="1" applyBorder="1" applyAlignment="1">
      <alignment horizontal="center" vertical="center" wrapText="1"/>
      <protection/>
    </xf>
    <xf numFmtId="0" fontId="28" fillId="0" borderId="8" xfId="403" applyFont="1" applyFill="1" applyBorder="1" applyAlignment="1">
      <alignment horizontal="centerContinuous" vertical="center" wrapText="1"/>
      <protection/>
    </xf>
    <xf numFmtId="3" fontId="30" fillId="0" borderId="4" xfId="403" applyNumberFormat="1" applyFont="1" applyBorder="1">
      <alignment/>
      <protection/>
    </xf>
    <xf numFmtId="0" fontId="30" fillId="0" borderId="0" xfId="403" applyFont="1">
      <alignment/>
      <protection/>
    </xf>
    <xf numFmtId="0" fontId="27" fillId="2" borderId="9" xfId="403" applyFont="1" applyFill="1" applyBorder="1" applyAlignment="1">
      <alignment horizontal="center" vertical="center" wrapText="1"/>
      <protection/>
    </xf>
    <xf numFmtId="0" fontId="17" fillId="2" borderId="10" xfId="403" applyFont="1" applyFill="1" applyBorder="1" applyAlignment="1">
      <alignment vertical="center" wrapText="1"/>
      <protection/>
    </xf>
    <xf numFmtId="0" fontId="27" fillId="2" borderId="11" xfId="403" applyFont="1" applyFill="1" applyBorder="1" applyAlignment="1">
      <alignment vertical="center" wrapText="1"/>
      <protection/>
    </xf>
    <xf numFmtId="3" fontId="27" fillId="2" borderId="12" xfId="403" applyNumberFormat="1" applyFont="1" applyFill="1" applyBorder="1" applyAlignment="1">
      <alignment horizontal="right" vertical="center" wrapText="1"/>
      <protection/>
    </xf>
    <xf numFmtId="0" fontId="17" fillId="5" borderId="13" xfId="403" applyFont="1" applyFill="1" applyBorder="1" applyAlignment="1">
      <alignment vertical="center" wrapText="1"/>
      <protection/>
    </xf>
    <xf numFmtId="0" fontId="17" fillId="2" borderId="1" xfId="403" applyFont="1" applyFill="1" applyBorder="1" applyAlignment="1">
      <alignment horizontal="center" vertical="center" wrapText="1"/>
      <protection/>
    </xf>
    <xf numFmtId="3" fontId="17" fillId="2" borderId="14" xfId="403" applyNumberFormat="1" applyFont="1" applyFill="1" applyBorder="1" applyAlignment="1">
      <alignment horizontal="right" vertical="center" wrapText="1"/>
      <protection/>
    </xf>
    <xf numFmtId="0" fontId="17" fillId="5" borderId="0" xfId="403" applyFont="1" applyFill="1" applyBorder="1" applyAlignment="1">
      <alignment horizontal="center" vertical="center" wrapText="1"/>
      <protection/>
    </xf>
    <xf numFmtId="0" fontId="29" fillId="0" borderId="1" xfId="403" applyFont="1" applyBorder="1" applyAlignment="1">
      <alignment horizontal="center" vertical="center" wrapText="1"/>
      <protection/>
    </xf>
    <xf numFmtId="0" fontId="29" fillId="0" borderId="1" xfId="403" applyFont="1" applyBorder="1" applyAlignment="1">
      <alignment vertical="center" wrapText="1"/>
      <protection/>
    </xf>
    <xf numFmtId="3" fontId="29" fillId="5" borderId="14" xfId="403" applyNumberFormat="1" applyFont="1" applyFill="1" applyBorder="1" applyAlignment="1">
      <alignment horizontal="right" vertical="center" wrapText="1"/>
      <protection/>
    </xf>
    <xf numFmtId="0" fontId="17" fillId="5" borderId="15" xfId="403" applyFont="1" applyFill="1" applyBorder="1" applyAlignment="1">
      <alignment vertical="center" wrapText="1"/>
      <protection/>
    </xf>
    <xf numFmtId="0" fontId="17" fillId="5" borderId="16" xfId="403" applyFont="1" applyFill="1" applyBorder="1" applyAlignment="1">
      <alignment horizontal="center" vertical="center" wrapText="1"/>
      <protection/>
    </xf>
    <xf numFmtId="0" fontId="29" fillId="0" borderId="17" xfId="403" applyFont="1" applyBorder="1" applyAlignment="1">
      <alignment horizontal="center" vertical="center" wrapText="1"/>
      <protection/>
    </xf>
    <xf numFmtId="0" fontId="29" fillId="0" borderId="17" xfId="403" applyFont="1" applyBorder="1" applyAlignment="1">
      <alignment vertical="center" wrapText="1"/>
      <protection/>
    </xf>
    <xf numFmtId="3" fontId="29" fillId="5" borderId="18" xfId="403" applyNumberFormat="1" applyFont="1" applyFill="1" applyBorder="1" applyAlignment="1">
      <alignment horizontal="right" vertical="center" wrapText="1"/>
      <protection/>
    </xf>
    <xf numFmtId="0" fontId="29" fillId="0" borderId="17" xfId="403" applyFont="1" applyBorder="1" applyAlignment="1">
      <alignment horizontal="center" vertical="center"/>
      <protection/>
    </xf>
    <xf numFmtId="0" fontId="29" fillId="0" borderId="19" xfId="403" applyFont="1" applyBorder="1" applyAlignment="1">
      <alignment vertical="center" wrapText="1"/>
      <protection/>
    </xf>
    <xf numFmtId="3" fontId="27" fillId="6" borderId="8" xfId="216" applyNumberFormat="1" applyFont="1" applyFill="1" applyBorder="1" applyAlignment="1">
      <alignment horizontal="right" vertical="center" wrapText="1"/>
    </xf>
    <xf numFmtId="0" fontId="27" fillId="2" borderId="20" xfId="403" applyFont="1" applyFill="1" applyBorder="1" applyAlignment="1">
      <alignment horizontal="center" vertical="center" wrapText="1"/>
      <protection/>
    </xf>
    <xf numFmtId="0" fontId="27" fillId="2" borderId="21" xfId="403" applyFont="1" applyFill="1" applyBorder="1" applyAlignment="1">
      <alignment vertical="center" wrapText="1"/>
      <protection/>
    </xf>
    <xf numFmtId="0" fontId="17" fillId="5" borderId="22" xfId="403" applyFont="1" applyFill="1" applyBorder="1" applyAlignment="1">
      <alignment vertical="center" wrapText="1"/>
      <protection/>
    </xf>
    <xf numFmtId="0" fontId="17" fillId="2" borderId="23" xfId="403" applyFont="1" applyFill="1" applyBorder="1" applyAlignment="1">
      <alignment horizontal="center" vertical="center" wrapText="1"/>
      <protection/>
    </xf>
    <xf numFmtId="0" fontId="17" fillId="5" borderId="15" xfId="403" applyFont="1" applyFill="1" applyBorder="1" applyAlignment="1">
      <alignment horizontal="center"/>
      <protection/>
    </xf>
    <xf numFmtId="0" fontId="29" fillId="0" borderId="24" xfId="403" applyFont="1" applyBorder="1" applyAlignment="1">
      <alignment vertical="center" wrapText="1"/>
      <protection/>
    </xf>
    <xf numFmtId="3" fontId="29" fillId="0" borderId="18" xfId="403" applyNumberFormat="1" applyFont="1" applyBorder="1" applyAlignment="1">
      <alignment vertical="center"/>
      <protection/>
    </xf>
    <xf numFmtId="0" fontId="17" fillId="5" borderId="19" xfId="403" applyFont="1" applyFill="1" applyBorder="1" applyAlignment="1">
      <alignment horizontal="center" vertical="center"/>
      <protection/>
    </xf>
    <xf numFmtId="0" fontId="17" fillId="5" borderId="0" xfId="403" applyFont="1" applyFill="1" applyBorder="1" applyAlignment="1">
      <alignment horizontal="center"/>
      <protection/>
    </xf>
    <xf numFmtId="0" fontId="17" fillId="5" borderId="0" xfId="403" applyFont="1" applyFill="1" applyBorder="1" applyAlignment="1">
      <alignment horizontal="center" vertical="center"/>
      <protection/>
    </xf>
    <xf numFmtId="0" fontId="29" fillId="0" borderId="0" xfId="403" applyFont="1" applyBorder="1" applyAlignment="1">
      <alignment horizontal="center" vertical="center"/>
      <protection/>
    </xf>
    <xf numFmtId="0" fontId="29" fillId="0" borderId="0" xfId="403" applyFont="1" applyBorder="1" applyAlignment="1">
      <alignment vertical="center" wrapText="1"/>
      <protection/>
    </xf>
    <xf numFmtId="3" fontId="29" fillId="0" borderId="0" xfId="403" applyNumberFormat="1" applyFont="1" applyBorder="1" applyAlignment="1">
      <alignment vertical="center"/>
      <protection/>
    </xf>
    <xf numFmtId="0" fontId="17" fillId="0" borderId="0" xfId="403" applyFont="1" applyFill="1">
      <alignment/>
      <protection/>
    </xf>
    <xf numFmtId="0" fontId="17" fillId="5" borderId="0" xfId="403" applyFont="1" applyFill="1" applyBorder="1" applyAlignment="1">
      <alignment vertical="center" wrapText="1"/>
      <protection/>
    </xf>
    <xf numFmtId="0" fontId="29" fillId="0" borderId="0" xfId="403" applyFont="1" applyBorder="1" applyAlignment="1">
      <alignment horizontal="center" vertical="center" wrapText="1"/>
      <protection/>
    </xf>
    <xf numFmtId="3" fontId="29" fillId="5" borderId="0" xfId="403" applyNumberFormat="1" applyFont="1" applyFill="1" applyBorder="1" applyAlignment="1">
      <alignment horizontal="right" vertical="center" wrapText="1"/>
      <protection/>
    </xf>
    <xf numFmtId="0" fontId="17" fillId="5" borderId="25" xfId="403" applyFont="1" applyFill="1" applyBorder="1" applyAlignment="1">
      <alignment vertical="center" wrapText="1"/>
      <protection/>
    </xf>
    <xf numFmtId="0" fontId="29" fillId="2" borderId="1" xfId="403" applyFont="1" applyFill="1" applyBorder="1" applyAlignment="1">
      <alignment horizontal="center" vertical="center" wrapText="1"/>
      <protection/>
    </xf>
    <xf numFmtId="0" fontId="29" fillId="0" borderId="1" xfId="403" applyFont="1" applyBorder="1" applyAlignment="1">
      <alignment horizontal="center" vertical="center"/>
      <protection/>
    </xf>
    <xf numFmtId="0" fontId="29" fillId="0" borderId="26" xfId="403" applyFont="1" applyBorder="1" applyAlignment="1">
      <alignment vertical="center" wrapText="1"/>
      <protection/>
    </xf>
    <xf numFmtId="3" fontId="29" fillId="0" borderId="14" xfId="403" applyNumberFormat="1" applyFont="1" applyBorder="1" applyAlignment="1">
      <alignment vertical="center"/>
      <protection/>
    </xf>
    <xf numFmtId="0" fontId="17" fillId="5" borderId="13" xfId="403" applyFont="1" applyFill="1" applyBorder="1" applyAlignment="1">
      <alignment horizontal="center"/>
      <protection/>
    </xf>
    <xf numFmtId="0" fontId="17" fillId="2" borderId="27" xfId="403" applyFont="1" applyFill="1" applyBorder="1" applyAlignment="1">
      <alignment vertical="center" wrapText="1"/>
      <protection/>
    </xf>
    <xf numFmtId="0" fontId="5" fillId="2" borderId="23" xfId="0" applyFont="1" applyFill="1" applyBorder="1" applyAlignment="1">
      <alignment horizontal="center" vertical="center"/>
    </xf>
    <xf numFmtId="0" fontId="17" fillId="0" borderId="0" xfId="403" applyFont="1" applyAlignment="1">
      <alignment vertical="center"/>
      <protection/>
    </xf>
    <xf numFmtId="0" fontId="25" fillId="0" borderId="0" xfId="403" applyFont="1" applyAlignment="1">
      <alignment vertical="center"/>
      <protection/>
    </xf>
    <xf numFmtId="3" fontId="25" fillId="0" borderId="0" xfId="403" applyNumberFormat="1" applyFont="1" applyAlignment="1">
      <alignment vertical="center"/>
      <protection/>
    </xf>
    <xf numFmtId="0" fontId="29" fillId="0" borderId="28" xfId="403" applyFont="1" applyBorder="1" applyAlignment="1">
      <alignment vertical="center" wrapText="1"/>
      <protection/>
    </xf>
    <xf numFmtId="0" fontId="17" fillId="5" borderId="29" xfId="403" applyFont="1" applyFill="1" applyBorder="1" applyAlignment="1">
      <alignment horizontal="center" vertical="center" wrapText="1"/>
      <protection/>
    </xf>
    <xf numFmtId="0" fontId="27" fillId="2" borderId="9" xfId="403" applyFont="1" applyFill="1" applyBorder="1" applyAlignment="1">
      <alignment horizontal="center"/>
      <protection/>
    </xf>
    <xf numFmtId="0" fontId="17" fillId="2" borderId="10" xfId="403" applyFont="1" applyFill="1" applyBorder="1">
      <alignment/>
      <protection/>
    </xf>
    <xf numFmtId="3" fontId="27" fillId="2" borderId="12" xfId="403" applyNumberFormat="1" applyFont="1" applyFill="1" applyBorder="1" applyAlignment="1">
      <alignment horizontal="right"/>
      <protection/>
    </xf>
    <xf numFmtId="0" fontId="17" fillId="2" borderId="27" xfId="403" applyFont="1" applyFill="1" applyBorder="1" applyAlignment="1">
      <alignment horizontal="center" vertical="center" wrapText="1"/>
      <protection/>
    </xf>
    <xf numFmtId="3" fontId="17" fillId="2" borderId="30" xfId="403" applyNumberFormat="1" applyFont="1" applyFill="1" applyBorder="1" applyAlignment="1">
      <alignment horizontal="right" vertical="center" wrapText="1"/>
      <protection/>
    </xf>
    <xf numFmtId="4" fontId="27" fillId="0" borderId="0" xfId="408" applyNumberFormat="1" applyFont="1" applyBorder="1">
      <alignment/>
      <protection/>
    </xf>
    <xf numFmtId="3" fontId="5" fillId="2" borderId="31" xfId="0" applyNumberFormat="1" applyFont="1" applyFill="1" applyBorder="1" applyAlignment="1">
      <alignment horizontal="right" vertical="center"/>
    </xf>
    <xf numFmtId="3" fontId="5" fillId="2" borderId="32" xfId="0" applyNumberFormat="1" applyFont="1" applyFill="1" applyBorder="1" applyAlignment="1">
      <alignment horizontal="right" vertical="center"/>
    </xf>
    <xf numFmtId="4" fontId="17" fillId="0" borderId="0" xfId="408" applyNumberFormat="1" applyFont="1" applyBorder="1">
      <alignment/>
      <protection/>
    </xf>
    <xf numFmtId="3" fontId="30" fillId="0" borderId="4" xfId="403" applyNumberFormat="1" applyFont="1" applyBorder="1" applyAlignment="1">
      <alignment vertical="center"/>
      <protection/>
    </xf>
    <xf numFmtId="0" fontId="31" fillId="0" borderId="0" xfId="403" applyFont="1" applyAlignment="1">
      <alignment vertical="center"/>
      <protection/>
    </xf>
    <xf numFmtId="0" fontId="27" fillId="2" borderId="10" xfId="403" applyFont="1" applyFill="1" applyBorder="1" applyAlignment="1">
      <alignment vertical="center" wrapText="1"/>
      <protection/>
    </xf>
    <xf numFmtId="0" fontId="29" fillId="0" borderId="33" xfId="403" applyFont="1" applyBorder="1" applyAlignment="1">
      <alignment vertical="center" wrapText="1"/>
      <protection/>
    </xf>
    <xf numFmtId="0" fontId="17" fillId="2" borderId="1" xfId="403" applyFont="1" applyFill="1" applyBorder="1" applyAlignment="1">
      <alignment horizontal="center"/>
      <protection/>
    </xf>
    <xf numFmtId="3" fontId="17" fillId="2" borderId="14" xfId="403" applyNumberFormat="1" applyFont="1" applyFill="1" applyBorder="1" applyAlignment="1">
      <alignment horizontal="right"/>
      <protection/>
    </xf>
    <xf numFmtId="0" fontId="17" fillId="5" borderId="34" xfId="403" applyFont="1" applyFill="1" applyBorder="1" applyAlignment="1">
      <alignment horizontal="center" vertical="center" wrapText="1"/>
      <protection/>
    </xf>
    <xf numFmtId="0" fontId="17" fillId="5" borderId="29" xfId="403" applyFont="1" applyFill="1" applyBorder="1" applyAlignment="1">
      <alignment horizontal="center"/>
      <protection/>
    </xf>
    <xf numFmtId="171" fontId="17" fillId="0" borderId="0" xfId="200" applyFont="1" applyFill="1" applyBorder="1" applyAlignment="1">
      <alignment/>
    </xf>
    <xf numFmtId="3" fontId="29" fillId="5" borderId="32" xfId="403" applyNumberFormat="1" applyFont="1" applyFill="1" applyBorder="1" applyAlignment="1">
      <alignment horizontal="left" vertical="center" wrapText="1"/>
      <protection/>
    </xf>
    <xf numFmtId="0" fontId="29" fillId="0" borderId="35" xfId="403" applyFont="1" applyBorder="1" applyAlignment="1">
      <alignment horizontal="center" vertical="center" wrapText="1"/>
      <protection/>
    </xf>
    <xf numFmtId="0" fontId="29" fillId="0" borderId="36" xfId="403" applyFont="1" applyBorder="1" applyAlignment="1">
      <alignment vertical="center" wrapText="1"/>
      <protection/>
    </xf>
    <xf numFmtId="3" fontId="29" fillId="5" borderId="37" xfId="403" applyNumberFormat="1" applyFont="1" applyFill="1" applyBorder="1" applyAlignment="1">
      <alignment horizontal="right" vertical="center" wrapText="1"/>
      <protection/>
    </xf>
    <xf numFmtId="3" fontId="29" fillId="5" borderId="8" xfId="403" applyNumberFormat="1" applyFont="1" applyFill="1" applyBorder="1" applyAlignment="1">
      <alignment horizontal="right" vertical="center" wrapText="1"/>
      <protection/>
    </xf>
    <xf numFmtId="0" fontId="17" fillId="0" borderId="25" xfId="403" applyFont="1" applyFill="1" applyBorder="1" applyAlignment="1">
      <alignment vertical="center" wrapText="1"/>
      <protection/>
    </xf>
    <xf numFmtId="0" fontId="25" fillId="0" borderId="0" xfId="403" applyFont="1" applyFill="1" applyAlignment="1">
      <alignment vertical="center"/>
      <protection/>
    </xf>
    <xf numFmtId="3" fontId="25" fillId="0" borderId="0" xfId="403" applyNumberFormat="1" applyFont="1" applyFill="1" applyAlignment="1">
      <alignment vertical="center"/>
      <protection/>
    </xf>
    <xf numFmtId="0" fontId="17" fillId="5" borderId="0" xfId="403" applyFont="1" applyFill="1" applyBorder="1">
      <alignment/>
      <protection/>
    </xf>
    <xf numFmtId="3" fontId="17" fillId="0" borderId="0" xfId="403" applyNumberFormat="1" applyFont="1">
      <alignment/>
      <protection/>
    </xf>
    <xf numFmtId="0" fontId="29" fillId="0" borderId="23" xfId="403" applyFont="1" applyBorder="1" applyAlignment="1">
      <alignment horizontal="center" vertical="center" wrapText="1"/>
      <protection/>
    </xf>
    <xf numFmtId="0" fontId="17" fillId="2" borderId="1" xfId="403" applyFont="1" applyFill="1" applyBorder="1" applyAlignment="1">
      <alignment vertical="center" wrapText="1"/>
      <protection/>
    </xf>
    <xf numFmtId="0" fontId="29" fillId="0" borderId="1" xfId="403" applyFont="1" applyFill="1" applyBorder="1" applyAlignment="1">
      <alignment horizontal="center" vertical="center" wrapText="1"/>
      <protection/>
    </xf>
    <xf numFmtId="0" fontId="17" fillId="2" borderId="33" xfId="403" applyFont="1" applyFill="1" applyBorder="1" applyAlignment="1">
      <alignment vertical="center" wrapText="1"/>
      <protection/>
    </xf>
    <xf numFmtId="0" fontId="17" fillId="2" borderId="35" xfId="403" applyFont="1" applyFill="1" applyBorder="1" applyAlignment="1">
      <alignment horizontal="center" vertical="center" wrapText="1"/>
      <protection/>
    </xf>
    <xf numFmtId="0" fontId="17" fillId="5" borderId="35" xfId="403" applyFont="1" applyFill="1" applyBorder="1" applyAlignment="1">
      <alignment horizontal="center" vertical="center" wrapText="1"/>
      <protection/>
    </xf>
    <xf numFmtId="0" fontId="17" fillId="5" borderId="38" xfId="403" applyFont="1" applyFill="1" applyBorder="1" applyAlignment="1">
      <alignment vertical="center" wrapText="1"/>
      <protection/>
    </xf>
    <xf numFmtId="0" fontId="29" fillId="5" borderId="13" xfId="403" applyFont="1" applyFill="1" applyBorder="1" applyAlignment="1">
      <alignment vertical="center" wrapText="1"/>
      <protection/>
    </xf>
    <xf numFmtId="0" fontId="29" fillId="0" borderId="17" xfId="403" applyFont="1" applyFill="1" applyBorder="1" applyAlignment="1">
      <alignment horizontal="center" vertical="center" wrapText="1"/>
      <protection/>
    </xf>
    <xf numFmtId="0" fontId="17" fillId="0" borderId="0" xfId="403" applyFont="1" applyAlignment="1">
      <alignment vertical="center" wrapText="1"/>
      <protection/>
    </xf>
    <xf numFmtId="0" fontId="27" fillId="2" borderId="9" xfId="403" applyFont="1" applyFill="1" applyBorder="1" applyAlignment="1" quotePrefix="1">
      <alignment horizontal="center" vertical="center" wrapText="1"/>
      <protection/>
    </xf>
    <xf numFmtId="0" fontId="17" fillId="2" borderId="1" xfId="403" applyFont="1" applyFill="1" applyBorder="1" applyAlignment="1" quotePrefix="1">
      <alignment horizontal="center" vertical="center" wrapText="1"/>
      <protection/>
    </xf>
    <xf numFmtId="0" fontId="17" fillId="5" borderId="25" xfId="403" applyFont="1" applyFill="1" applyBorder="1">
      <alignment/>
      <protection/>
    </xf>
    <xf numFmtId="0" fontId="30" fillId="0" borderId="0" xfId="409" applyFont="1" applyAlignment="1">
      <alignment vertical="top"/>
      <protection/>
    </xf>
    <xf numFmtId="0" fontId="17" fillId="0" borderId="0" xfId="409" applyFont="1">
      <alignment/>
      <protection/>
    </xf>
    <xf numFmtId="3" fontId="27" fillId="0" borderId="0" xfId="409" applyNumberFormat="1" applyFont="1">
      <alignment/>
      <protection/>
    </xf>
    <xf numFmtId="0" fontId="17" fillId="0" borderId="0" xfId="409" applyFont="1" applyBorder="1">
      <alignment/>
      <protection/>
    </xf>
    <xf numFmtId="4" fontId="27" fillId="4" borderId="4" xfId="409" applyNumberFormat="1" applyFont="1" applyFill="1" applyBorder="1" applyAlignment="1">
      <alignment vertical="center"/>
      <protection/>
    </xf>
    <xf numFmtId="0" fontId="28" fillId="0" borderId="5" xfId="409" applyFont="1" applyFill="1" applyBorder="1" applyAlignment="1">
      <alignment horizontal="center" vertical="center"/>
      <protection/>
    </xf>
    <xf numFmtId="0" fontId="28" fillId="0" borderId="6" xfId="409" applyFont="1" applyFill="1" applyBorder="1" applyAlignment="1">
      <alignment horizontal="center" vertical="center"/>
      <protection/>
    </xf>
    <xf numFmtId="0" fontId="28" fillId="0" borderId="7" xfId="409" applyFont="1" applyFill="1" applyBorder="1" applyAlignment="1">
      <alignment horizontal="center" vertical="center" wrapText="1"/>
      <protection/>
    </xf>
    <xf numFmtId="0" fontId="28" fillId="0" borderId="8" xfId="409" applyFont="1" applyFill="1" applyBorder="1" applyAlignment="1">
      <alignment horizontal="centerContinuous" vertical="center" wrapText="1"/>
      <protection/>
    </xf>
    <xf numFmtId="0" fontId="17" fillId="0" borderId="0" xfId="409" applyFont="1" applyFill="1">
      <alignment/>
      <protection/>
    </xf>
    <xf numFmtId="3" fontId="30" fillId="0" borderId="4" xfId="409" applyNumberFormat="1" applyFont="1" applyBorder="1" applyAlignment="1">
      <alignment vertical="center"/>
      <protection/>
    </xf>
    <xf numFmtId="0" fontId="30" fillId="0" borderId="0" xfId="409" applyFont="1" applyAlignment="1">
      <alignment vertical="center"/>
      <protection/>
    </xf>
    <xf numFmtId="0" fontId="27" fillId="2" borderId="9" xfId="409" applyFont="1" applyFill="1" applyBorder="1" applyAlignment="1">
      <alignment horizontal="center" vertical="center" wrapText="1"/>
      <protection/>
    </xf>
    <xf numFmtId="0" fontId="17" fillId="2" borderId="10" xfId="409" applyFont="1" applyFill="1" applyBorder="1" applyAlignment="1">
      <alignment vertical="center" wrapText="1"/>
      <protection/>
    </xf>
    <xf numFmtId="0" fontId="27" fillId="2" borderId="11" xfId="409" applyFont="1" applyFill="1" applyBorder="1" applyAlignment="1">
      <alignment vertical="center" wrapText="1"/>
      <protection/>
    </xf>
    <xf numFmtId="3" fontId="27" fillId="2" borderId="12" xfId="409" applyNumberFormat="1" applyFont="1" applyFill="1" applyBorder="1" applyAlignment="1">
      <alignment horizontal="right" vertical="center" wrapText="1"/>
      <protection/>
    </xf>
    <xf numFmtId="0" fontId="17" fillId="5" borderId="13" xfId="409" applyFont="1" applyFill="1" applyBorder="1" applyAlignment="1">
      <alignment vertical="center" wrapText="1"/>
      <protection/>
    </xf>
    <xf numFmtId="0" fontId="17" fillId="2" borderId="1" xfId="409" applyFont="1" applyFill="1" applyBorder="1" applyAlignment="1">
      <alignment horizontal="center" vertical="center" wrapText="1"/>
      <protection/>
    </xf>
    <xf numFmtId="3" fontId="17" fillId="2" borderId="14" xfId="409" applyNumberFormat="1" applyFont="1" applyFill="1" applyBorder="1" applyAlignment="1">
      <alignment horizontal="right" vertical="center" wrapText="1"/>
      <protection/>
    </xf>
    <xf numFmtId="0" fontId="29" fillId="0" borderId="1" xfId="409" applyFont="1" applyBorder="1" applyAlignment="1">
      <alignment horizontal="center" vertical="center" wrapText="1"/>
      <protection/>
    </xf>
    <xf numFmtId="0" fontId="30" fillId="0" borderId="0" xfId="403" applyFont="1" applyAlignment="1">
      <alignment vertical="center"/>
      <protection/>
    </xf>
    <xf numFmtId="0" fontId="17" fillId="5" borderId="13" xfId="403" applyFont="1" applyFill="1" applyBorder="1">
      <alignment/>
      <protection/>
    </xf>
    <xf numFmtId="0" fontId="31" fillId="2" borderId="5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0" fillId="0" borderId="5" xfId="0" applyFont="1" applyBorder="1" applyAlignment="1">
      <alignment horizontal="center"/>
    </xf>
    <xf numFmtId="3" fontId="27" fillId="0" borderId="4" xfId="0" applyNumberFormat="1" applyFont="1" applyBorder="1" applyAlignment="1">
      <alignment/>
    </xf>
    <xf numFmtId="0" fontId="31" fillId="0" borderId="0" xfId="0" applyFont="1" applyAlignment="1">
      <alignment horizontal="right"/>
    </xf>
    <xf numFmtId="0" fontId="33" fillId="0" borderId="0" xfId="0" applyFont="1" applyAlignment="1">
      <alignment/>
    </xf>
    <xf numFmtId="3" fontId="32" fillId="0" borderId="4" xfId="0" applyNumberFormat="1" applyFont="1" applyBorder="1" applyAlignment="1">
      <alignment/>
    </xf>
    <xf numFmtId="3" fontId="17" fillId="0" borderId="0" xfId="403" applyNumberFormat="1" applyFont="1" applyFill="1">
      <alignment/>
      <protection/>
    </xf>
    <xf numFmtId="0" fontId="6" fillId="2" borderId="33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7" fillId="2" borderId="10" xfId="403" applyFont="1" applyFill="1" applyBorder="1" applyAlignment="1">
      <alignment horizontal="center" vertical="center" wrapText="1"/>
      <protection/>
    </xf>
    <xf numFmtId="0" fontId="17" fillId="0" borderId="13" xfId="409" applyFont="1" applyFill="1" applyBorder="1" applyAlignment="1">
      <alignment vertical="center" wrapText="1"/>
      <protection/>
    </xf>
    <xf numFmtId="0" fontId="17" fillId="0" borderId="29" xfId="40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17" fillId="0" borderId="0" xfId="403" applyFont="1" applyAlignment="1">
      <alignment horizontal="right"/>
      <protection/>
    </xf>
    <xf numFmtId="171" fontId="17" fillId="0" borderId="0" xfId="200" applyFont="1" applyAlignment="1">
      <alignment/>
    </xf>
    <xf numFmtId="0" fontId="24" fillId="0" borderId="0" xfId="403" applyFont="1" applyAlignment="1">
      <alignment horizontal="center" vertical="center" wrapText="1"/>
      <protection/>
    </xf>
    <xf numFmtId="0" fontId="24" fillId="0" borderId="0" xfId="403" applyFont="1" applyAlignment="1">
      <alignment horizontal="center" vertical="center"/>
      <protection/>
    </xf>
    <xf numFmtId="3" fontId="29" fillId="0" borderId="14" xfId="403" applyNumberFormat="1" applyFont="1" applyFill="1" applyBorder="1" applyAlignment="1">
      <alignment horizontal="right" vertical="center" wrapText="1"/>
      <protection/>
    </xf>
    <xf numFmtId="0" fontId="30" fillId="0" borderId="0" xfId="403" applyFont="1" applyAlignment="1">
      <alignment horizontal="center" vertical="top"/>
      <protection/>
    </xf>
    <xf numFmtId="0" fontId="17" fillId="0" borderId="33" xfId="408" applyFont="1" applyFill="1" applyBorder="1">
      <alignment/>
      <protection/>
    </xf>
    <xf numFmtId="0" fontId="27" fillId="2" borderId="41" xfId="403" applyFont="1" applyFill="1" applyBorder="1" applyAlignment="1">
      <alignment vertical="center" wrapText="1"/>
      <protection/>
    </xf>
    <xf numFmtId="0" fontId="27" fillId="2" borderId="7" xfId="403" applyFont="1" applyFill="1" applyBorder="1" applyAlignment="1">
      <alignment vertical="center" wrapText="1"/>
      <protection/>
    </xf>
    <xf numFmtId="0" fontId="17" fillId="0" borderId="0" xfId="408" applyFont="1" applyBorder="1" applyAlignment="1">
      <alignment horizontal="center"/>
      <protection/>
    </xf>
    <xf numFmtId="0" fontId="27" fillId="0" borderId="0" xfId="408" applyFont="1" applyBorder="1" applyAlignment="1">
      <alignment horizontal="center"/>
      <protection/>
    </xf>
    <xf numFmtId="0" fontId="27" fillId="0" borderId="0" xfId="408" applyFont="1" applyFill="1" applyBorder="1" applyAlignment="1">
      <alignment horizontal="center"/>
      <protection/>
    </xf>
    <xf numFmtId="0" fontId="25" fillId="0" borderId="0" xfId="408" applyFont="1" applyFill="1" applyBorder="1" applyAlignment="1">
      <alignment horizontal="center"/>
      <protection/>
    </xf>
    <xf numFmtId="0" fontId="25" fillId="0" borderId="0" xfId="408" applyFont="1" applyBorder="1" applyAlignment="1">
      <alignment horizontal="center"/>
      <protection/>
    </xf>
    <xf numFmtId="4" fontId="27" fillId="0" borderId="0" xfId="408" applyNumberFormat="1" applyFont="1" applyBorder="1" applyAlignment="1">
      <alignment horizontal="center"/>
      <protection/>
    </xf>
    <xf numFmtId="0" fontId="27" fillId="0" borderId="0" xfId="408" applyFont="1" applyBorder="1">
      <alignment/>
      <protection/>
    </xf>
    <xf numFmtId="0" fontId="17" fillId="0" borderId="0" xfId="408" applyFont="1" applyBorder="1">
      <alignment/>
      <protection/>
    </xf>
    <xf numFmtId="0" fontId="25" fillId="0" borderId="0" xfId="408" applyFont="1" applyBorder="1">
      <alignment/>
      <protection/>
    </xf>
    <xf numFmtId="2" fontId="17" fillId="0" borderId="0" xfId="408" applyNumberFormat="1" applyFont="1" applyBorder="1">
      <alignment/>
      <protection/>
    </xf>
    <xf numFmtId="0" fontId="27" fillId="2" borderId="5" xfId="403" applyFont="1" applyFill="1" applyBorder="1" applyAlignment="1">
      <alignment horizontal="center" vertical="center" wrapText="1"/>
      <protection/>
    </xf>
    <xf numFmtId="0" fontId="17" fillId="2" borderId="42" xfId="403" applyFont="1" applyFill="1" applyBorder="1" applyAlignment="1">
      <alignment vertical="center" wrapText="1"/>
      <protection/>
    </xf>
    <xf numFmtId="0" fontId="9" fillId="2" borderId="4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27" fillId="2" borderId="41" xfId="403" applyFont="1" applyFill="1" applyBorder="1" applyAlignment="1">
      <alignment horizontal="center" vertical="center" wrapText="1"/>
      <protection/>
    </xf>
    <xf numFmtId="0" fontId="27" fillId="5" borderId="29" xfId="408" applyFont="1" applyFill="1" applyBorder="1" applyAlignment="1">
      <alignment horizontal="center"/>
      <protection/>
    </xf>
    <xf numFmtId="0" fontId="17" fillId="5" borderId="25" xfId="403" applyFont="1" applyFill="1" applyBorder="1" applyAlignment="1">
      <alignment horizontal="center" vertical="center" wrapText="1"/>
      <protection/>
    </xf>
    <xf numFmtId="0" fontId="5" fillId="2" borderId="46" xfId="0" applyFont="1" applyFill="1" applyBorder="1" applyAlignment="1" quotePrefix="1">
      <alignment horizontal="center" vertical="center"/>
    </xf>
    <xf numFmtId="0" fontId="9" fillId="2" borderId="41" xfId="0" applyFont="1" applyFill="1" applyBorder="1" applyAlignment="1" quotePrefix="1">
      <alignment horizontal="center" vertical="center"/>
    </xf>
    <xf numFmtId="0" fontId="9" fillId="2" borderId="43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27" xfId="0" applyFont="1" applyFill="1" applyBorder="1" applyAlignment="1" quotePrefix="1">
      <alignment horizontal="center" vertical="center"/>
    </xf>
    <xf numFmtId="0" fontId="9" fillId="2" borderId="5" xfId="0" applyFont="1" applyFill="1" applyBorder="1" applyAlignment="1" quotePrefix="1">
      <alignment horizontal="center" vertical="center"/>
    </xf>
    <xf numFmtId="0" fontId="10" fillId="2" borderId="7" xfId="0" applyNumberFormat="1" applyFont="1" applyFill="1" applyBorder="1" applyAlignment="1">
      <alignment horizontal="left" vertical="center" wrapText="1"/>
    </xf>
    <xf numFmtId="0" fontId="5" fillId="5" borderId="25" xfId="0" applyFont="1" applyFill="1" applyBorder="1" applyAlignment="1" quotePrefix="1">
      <alignment horizontal="center" vertical="center"/>
    </xf>
    <xf numFmtId="0" fontId="6" fillId="2" borderId="42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45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3" fontId="38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left" vertical="center"/>
    </xf>
    <xf numFmtId="0" fontId="5" fillId="2" borderId="49" xfId="0" applyFont="1" applyFill="1" applyBorder="1" applyAlignment="1" quotePrefix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" fontId="39" fillId="2" borderId="4" xfId="0" applyNumberFormat="1" applyFont="1" applyFill="1" applyBorder="1" applyAlignment="1">
      <alignment horizontal="right" vertical="center"/>
    </xf>
    <xf numFmtId="3" fontId="13" fillId="2" borderId="30" xfId="0" applyNumberFormat="1" applyFont="1" applyFill="1" applyBorder="1" applyAlignment="1">
      <alignment horizontal="right" vertical="center"/>
    </xf>
    <xf numFmtId="3" fontId="40" fillId="0" borderId="14" xfId="0" applyNumberFormat="1" applyFont="1" applyFill="1" applyBorder="1" applyAlignment="1">
      <alignment horizontal="right" vertical="center"/>
    </xf>
    <xf numFmtId="3" fontId="13" fillId="2" borderId="30" xfId="0" applyNumberFormat="1" applyFont="1" applyFill="1" applyBorder="1" applyAlignment="1">
      <alignment horizontal="right" vertical="center"/>
    </xf>
    <xf numFmtId="3" fontId="40" fillId="0" borderId="14" xfId="0" applyNumberFormat="1" applyFont="1" applyFill="1" applyBorder="1" applyAlignment="1">
      <alignment horizontal="right" vertical="center"/>
    </xf>
    <xf numFmtId="3" fontId="13" fillId="2" borderId="12" xfId="0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horizontal="right" vertical="center"/>
    </xf>
    <xf numFmtId="0" fontId="5" fillId="5" borderId="39" xfId="0" applyFont="1" applyFill="1" applyBorder="1" applyAlignment="1" quotePrefix="1">
      <alignment horizontal="center" vertical="center"/>
    </xf>
    <xf numFmtId="0" fontId="5" fillId="2" borderId="10" xfId="0" applyFont="1" applyFill="1" applyBorder="1" applyAlignment="1" quotePrefix="1">
      <alignment horizontal="center" vertical="center"/>
    </xf>
    <xf numFmtId="3" fontId="40" fillId="0" borderId="12" xfId="0" applyNumberFormat="1" applyFont="1" applyFill="1" applyBorder="1" applyAlignment="1">
      <alignment horizontal="right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/>
    </xf>
    <xf numFmtId="3" fontId="29" fillId="0" borderId="18" xfId="403" applyNumberFormat="1" applyFont="1" applyFill="1" applyBorder="1" applyAlignment="1">
      <alignment horizontal="right" vertical="center" wrapText="1"/>
      <protection/>
    </xf>
    <xf numFmtId="0" fontId="13" fillId="2" borderId="0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1" xfId="403" applyFont="1" applyFill="1" applyBorder="1" applyAlignment="1">
      <alignment horizontal="center" vertical="center"/>
      <protection/>
    </xf>
    <xf numFmtId="0" fontId="29" fillId="0" borderId="33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17" fillId="5" borderId="25" xfId="403" applyFont="1" applyFill="1" applyBorder="1" applyAlignment="1">
      <alignment vertical="center"/>
      <protection/>
    </xf>
    <xf numFmtId="0" fontId="17" fillId="2" borderId="33" xfId="403" applyFont="1" applyFill="1" applyBorder="1" applyAlignment="1">
      <alignment horizontal="left" vertical="center" wrapText="1"/>
      <protection/>
    </xf>
    <xf numFmtId="3" fontId="17" fillId="2" borderId="32" xfId="403" applyNumberFormat="1" applyFont="1" applyFill="1" applyBorder="1" applyAlignment="1">
      <alignment horizontal="right" vertical="center"/>
      <protection/>
    </xf>
    <xf numFmtId="0" fontId="17" fillId="5" borderId="35" xfId="403" applyFont="1" applyFill="1" applyBorder="1" applyAlignment="1">
      <alignment horizontal="center"/>
      <protection/>
    </xf>
    <xf numFmtId="0" fontId="17" fillId="0" borderId="0" xfId="403" applyFont="1">
      <alignment/>
      <protection/>
    </xf>
    <xf numFmtId="0" fontId="17" fillId="2" borderId="50" xfId="0" applyFont="1" applyFill="1" applyBorder="1" applyAlignment="1">
      <alignment horizontal="left"/>
    </xf>
    <xf numFmtId="0" fontId="17" fillId="2" borderId="33" xfId="0" applyFont="1" applyFill="1" applyBorder="1" applyAlignment="1">
      <alignment horizontal="left" vertical="center" wrapText="1"/>
    </xf>
    <xf numFmtId="3" fontId="17" fillId="2" borderId="32" xfId="403" applyNumberFormat="1" applyFont="1" applyFill="1" applyBorder="1" applyAlignment="1">
      <alignment horizontal="right" vertical="center" wrapText="1"/>
      <protection/>
    </xf>
    <xf numFmtId="0" fontId="27" fillId="0" borderId="0" xfId="403" applyFont="1" applyFill="1" applyBorder="1">
      <alignment/>
      <protection/>
    </xf>
    <xf numFmtId="0" fontId="27" fillId="0" borderId="0" xfId="403" applyFont="1" applyFill="1" applyBorder="1" applyAlignment="1">
      <alignment wrapText="1"/>
      <protection/>
    </xf>
    <xf numFmtId="0" fontId="17" fillId="0" borderId="0" xfId="403" applyFont="1" applyFill="1" applyBorder="1">
      <alignment/>
      <protection/>
    </xf>
    <xf numFmtId="171" fontId="17" fillId="0" borderId="0" xfId="200" applyFont="1" applyFill="1" applyBorder="1" applyAlignment="1">
      <alignment horizontal="right" vertical="center" wrapText="1"/>
    </xf>
    <xf numFmtId="0" fontId="17" fillId="2" borderId="50" xfId="0" applyFont="1" applyFill="1" applyBorder="1" applyAlignment="1">
      <alignment horizontal="left" vertical="center" wrapText="1"/>
    </xf>
    <xf numFmtId="0" fontId="17" fillId="2" borderId="50" xfId="403" applyFont="1" applyFill="1" applyBorder="1" applyAlignment="1">
      <alignment vertical="center" wrapText="1"/>
      <protection/>
    </xf>
    <xf numFmtId="0" fontId="17" fillId="2" borderId="28" xfId="0" applyFont="1" applyFill="1" applyBorder="1" applyAlignment="1">
      <alignment horizontal="left" vertical="center" wrapText="1"/>
    </xf>
    <xf numFmtId="3" fontId="40" fillId="0" borderId="3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3" fontId="43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7" fillId="5" borderId="27" xfId="403" applyFont="1" applyFill="1" applyBorder="1" applyAlignment="1">
      <alignment horizontal="center" vertical="center" wrapText="1"/>
      <protection/>
    </xf>
    <xf numFmtId="0" fontId="12" fillId="0" borderId="0" xfId="0" applyNumberFormat="1" applyFont="1" applyAlignment="1">
      <alignment vertical="center" wrapText="1"/>
    </xf>
    <xf numFmtId="0" fontId="44" fillId="2" borderId="7" xfId="0" applyNumberFormat="1" applyFont="1" applyFill="1" applyBorder="1" applyAlignment="1">
      <alignment horizontal="left" vertical="center" wrapText="1"/>
    </xf>
    <xf numFmtId="0" fontId="17" fillId="2" borderId="42" xfId="0" applyNumberFormat="1" applyFont="1" applyFill="1" applyBorder="1" applyAlignment="1">
      <alignment horizontal="left" vertical="center" wrapText="1"/>
    </xf>
    <xf numFmtId="0" fontId="41" fillId="0" borderId="33" xfId="0" applyNumberFormat="1" applyFont="1" applyFill="1" applyBorder="1" applyAlignment="1">
      <alignment horizontal="left" vertical="center" wrapText="1"/>
    </xf>
    <xf numFmtId="0" fontId="41" fillId="0" borderId="51" xfId="0" applyNumberFormat="1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41" fillId="0" borderId="45" xfId="0" applyNumberFormat="1" applyFont="1" applyFill="1" applyBorder="1" applyAlignment="1">
      <alignment horizontal="left" vertical="center" wrapText="1"/>
    </xf>
    <xf numFmtId="0" fontId="17" fillId="2" borderId="11" xfId="0" applyNumberFormat="1" applyFont="1" applyFill="1" applyBorder="1" applyAlignment="1">
      <alignment horizontal="left" vertical="center" wrapText="1"/>
    </xf>
    <xf numFmtId="0" fontId="41" fillId="0" borderId="42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/>
    </xf>
    <xf numFmtId="3" fontId="37" fillId="0" borderId="14" xfId="0" applyNumberFormat="1" applyFont="1" applyFill="1" applyBorder="1" applyAlignment="1">
      <alignment horizontal="right"/>
    </xf>
    <xf numFmtId="0" fontId="29" fillId="0" borderId="27" xfId="403" applyFont="1" applyBorder="1" applyAlignment="1">
      <alignment horizontal="center" vertical="center" wrapText="1"/>
      <protection/>
    </xf>
    <xf numFmtId="0" fontId="29" fillId="0" borderId="52" xfId="403" applyFont="1" applyBorder="1" applyAlignment="1">
      <alignment vertical="center" wrapText="1"/>
      <protection/>
    </xf>
    <xf numFmtId="0" fontId="17" fillId="5" borderId="20" xfId="403" applyFont="1" applyFill="1" applyBorder="1" applyAlignment="1">
      <alignment vertical="center" wrapText="1"/>
      <protection/>
    </xf>
    <xf numFmtId="3" fontId="17" fillId="2" borderId="12" xfId="403" applyNumberFormat="1" applyFont="1" applyFill="1" applyBorder="1" applyAlignment="1">
      <alignment horizontal="right" vertical="center" wrapText="1"/>
      <protection/>
    </xf>
    <xf numFmtId="0" fontId="7" fillId="0" borderId="27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17" fillId="2" borderId="53" xfId="0" applyFont="1" applyFill="1" applyBorder="1" applyAlignment="1">
      <alignment horizontal="left"/>
    </xf>
    <xf numFmtId="0" fontId="41" fillId="0" borderId="11" xfId="0" applyNumberFormat="1" applyFont="1" applyFill="1" applyBorder="1" applyAlignment="1">
      <alignment horizontal="left" vertical="center" wrapText="1"/>
    </xf>
    <xf numFmtId="3" fontId="27" fillId="8" borderId="37" xfId="0" applyNumberFormat="1" applyFont="1" applyFill="1" applyBorder="1" applyAlignment="1">
      <alignment/>
    </xf>
    <xf numFmtId="3" fontId="27" fillId="8" borderId="18" xfId="0" applyNumberFormat="1" applyFont="1" applyFill="1" applyBorder="1" applyAlignment="1">
      <alignment/>
    </xf>
    <xf numFmtId="0" fontId="29" fillId="0" borderId="35" xfId="403" applyFont="1" applyBorder="1" applyAlignment="1">
      <alignment vertical="center" wrapText="1"/>
      <protection/>
    </xf>
    <xf numFmtId="0" fontId="17" fillId="5" borderId="54" xfId="403" applyFont="1" applyFill="1" applyBorder="1" applyAlignment="1">
      <alignment vertical="center" wrapText="1"/>
      <protection/>
    </xf>
    <xf numFmtId="0" fontId="17" fillId="5" borderId="2" xfId="403" applyFont="1" applyFill="1" applyBorder="1" applyAlignment="1">
      <alignment horizontal="center" vertical="center" wrapText="1"/>
      <protection/>
    </xf>
    <xf numFmtId="0" fontId="17" fillId="0" borderId="13" xfId="403" applyFont="1" applyFill="1" applyBorder="1" applyAlignment="1">
      <alignment vertical="center" wrapText="1"/>
      <protection/>
    </xf>
    <xf numFmtId="0" fontId="17" fillId="0" borderId="0" xfId="403" applyFont="1" applyFill="1" applyBorder="1" applyAlignment="1">
      <alignment horizontal="center" vertical="center" wrapText="1"/>
      <protection/>
    </xf>
    <xf numFmtId="0" fontId="17" fillId="0" borderId="35" xfId="403" applyFont="1" applyFill="1" applyBorder="1" applyAlignment="1">
      <alignment horizontal="center" vertical="center" wrapText="1"/>
      <protection/>
    </xf>
    <xf numFmtId="3" fontId="29" fillId="0" borderId="37" xfId="403" applyNumberFormat="1" applyFont="1" applyFill="1" applyBorder="1" applyAlignment="1">
      <alignment horizontal="right" vertical="center" wrapText="1"/>
      <protection/>
    </xf>
    <xf numFmtId="171" fontId="30" fillId="0" borderId="0" xfId="403" applyNumberFormat="1" applyFont="1" applyFill="1">
      <alignment/>
      <protection/>
    </xf>
    <xf numFmtId="43" fontId="17" fillId="0" borderId="0" xfId="403" applyNumberFormat="1" applyFont="1">
      <alignment/>
      <protection/>
    </xf>
    <xf numFmtId="3" fontId="30" fillId="0" borderId="55" xfId="403" applyNumberFormat="1" applyFont="1" applyBorder="1">
      <alignment/>
      <protection/>
    </xf>
    <xf numFmtId="0" fontId="17" fillId="5" borderId="16" xfId="403" applyFont="1" applyFill="1" applyBorder="1" applyAlignment="1">
      <alignment horizontal="center" vertical="center"/>
      <protection/>
    </xf>
    <xf numFmtId="0" fontId="17" fillId="5" borderId="35" xfId="403" applyFont="1" applyFill="1" applyBorder="1" applyAlignment="1">
      <alignment horizontal="center" vertical="center"/>
      <protection/>
    </xf>
    <xf numFmtId="0" fontId="17" fillId="5" borderId="27" xfId="403" applyFont="1" applyFill="1" applyBorder="1" applyAlignment="1">
      <alignment horizontal="center" vertical="center"/>
      <protection/>
    </xf>
    <xf numFmtId="0" fontId="17" fillId="0" borderId="15" xfId="403" applyFont="1" applyFill="1" applyBorder="1" applyAlignment="1">
      <alignment vertical="center" wrapText="1"/>
      <protection/>
    </xf>
    <xf numFmtId="0" fontId="17" fillId="0" borderId="16" xfId="403" applyFont="1" applyFill="1" applyBorder="1" applyAlignment="1">
      <alignment horizontal="center" vertical="center" wrapText="1"/>
      <protection/>
    </xf>
    <xf numFmtId="0" fontId="29" fillId="0" borderId="24" xfId="403" applyFont="1" applyFill="1" applyBorder="1" applyAlignment="1">
      <alignment vertical="center" wrapText="1"/>
      <protection/>
    </xf>
    <xf numFmtId="0" fontId="27" fillId="2" borderId="54" xfId="403" applyFont="1" applyFill="1" applyBorder="1" applyAlignment="1">
      <alignment horizontal="center" vertical="center" wrapText="1"/>
      <protection/>
    </xf>
    <xf numFmtId="0" fontId="27" fillId="2" borderId="52" xfId="403" applyFont="1" applyFill="1" applyBorder="1" applyAlignment="1">
      <alignment vertical="center" wrapText="1"/>
      <protection/>
    </xf>
    <xf numFmtId="3" fontId="27" fillId="2" borderId="30" xfId="403" applyNumberFormat="1" applyFont="1" applyFill="1" applyBorder="1" applyAlignment="1">
      <alignment horizontal="right" vertical="center" wrapText="1"/>
      <protection/>
    </xf>
    <xf numFmtId="0" fontId="29" fillId="0" borderId="28" xfId="403" applyFont="1" applyFill="1" applyBorder="1" applyAlignment="1">
      <alignment vertical="center" wrapText="1"/>
      <protection/>
    </xf>
    <xf numFmtId="4" fontId="17" fillId="0" borderId="0" xfId="403" applyNumberFormat="1" applyFont="1">
      <alignment/>
      <protection/>
    </xf>
    <xf numFmtId="0" fontId="17" fillId="2" borderId="27" xfId="0" applyNumberFormat="1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41" fillId="0" borderId="33" xfId="0" applyNumberFormat="1" applyFont="1" applyFill="1" applyBorder="1" applyAlignment="1">
      <alignment horizontal="left" vertical="center" wrapText="1"/>
    </xf>
    <xf numFmtId="0" fontId="41" fillId="0" borderId="45" xfId="0" applyNumberFormat="1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right" vertical="center"/>
    </xf>
    <xf numFmtId="3" fontId="30" fillId="0" borderId="0" xfId="403" applyNumberFormat="1" applyFont="1">
      <alignment/>
      <protection/>
    </xf>
    <xf numFmtId="0" fontId="17" fillId="2" borderId="56" xfId="0" applyFont="1" applyFill="1" applyBorder="1" applyAlignment="1">
      <alignment horizontal="left" vertical="center" wrapText="1"/>
    </xf>
    <xf numFmtId="0" fontId="31" fillId="0" borderId="0" xfId="403" applyFont="1" applyFill="1" applyBorder="1">
      <alignment/>
      <protection/>
    </xf>
    <xf numFmtId="0" fontId="17" fillId="0" borderId="0" xfId="403" applyFont="1" applyBorder="1">
      <alignment/>
      <protection/>
    </xf>
    <xf numFmtId="0" fontId="28" fillId="0" borderId="4" xfId="403" applyFont="1" applyFill="1" applyBorder="1" applyAlignment="1">
      <alignment horizontal="centerContinuous" vertical="center" wrapText="1"/>
      <protection/>
    </xf>
    <xf numFmtId="0" fontId="17" fillId="2" borderId="46" xfId="403" applyFont="1" applyFill="1" applyBorder="1" applyAlignment="1">
      <alignment horizontal="center" vertical="center" wrapText="1"/>
      <protection/>
    </xf>
    <xf numFmtId="0" fontId="17" fillId="2" borderId="42" xfId="403" applyFont="1" applyFill="1" applyBorder="1" applyAlignment="1">
      <alignment horizontal="left" vertical="center" wrapText="1"/>
      <protection/>
    </xf>
    <xf numFmtId="0" fontId="17" fillId="5" borderId="46" xfId="403" applyFont="1" applyFill="1" applyBorder="1" applyAlignment="1">
      <alignment vertical="center" wrapText="1"/>
      <protection/>
    </xf>
    <xf numFmtId="0" fontId="27" fillId="2" borderId="57" xfId="403" applyFont="1" applyFill="1" applyBorder="1" applyAlignment="1">
      <alignment horizontal="center" vertical="center" wrapText="1"/>
      <protection/>
    </xf>
    <xf numFmtId="4" fontId="27" fillId="2" borderId="30" xfId="403" applyNumberFormat="1" applyFont="1" applyFill="1" applyBorder="1" applyAlignment="1">
      <alignment horizontal="right" vertical="center" wrapText="1"/>
      <protection/>
    </xf>
    <xf numFmtId="0" fontId="17" fillId="2" borderId="50" xfId="0" applyFont="1" applyFill="1" applyBorder="1" applyAlignment="1">
      <alignment horizontal="left" vertical="center" wrapText="1"/>
    </xf>
    <xf numFmtId="0" fontId="29" fillId="0" borderId="45" xfId="403" applyFont="1" applyBorder="1" applyAlignment="1">
      <alignment vertical="center" wrapText="1"/>
      <protection/>
    </xf>
    <xf numFmtId="0" fontId="17" fillId="0" borderId="0" xfId="403" applyFont="1" applyAlignment="1">
      <alignment vertical="center"/>
      <protection/>
    </xf>
    <xf numFmtId="0" fontId="17" fillId="2" borderId="50" xfId="0" applyFont="1" applyFill="1" applyBorder="1" applyAlignment="1">
      <alignment horizontal="left"/>
    </xf>
    <xf numFmtId="0" fontId="29" fillId="0" borderId="0" xfId="403" applyFont="1" applyFill="1">
      <alignment/>
      <protection/>
    </xf>
    <xf numFmtId="0" fontId="17" fillId="0" borderId="29" xfId="403" applyFont="1" applyFill="1" applyBorder="1" applyAlignment="1">
      <alignment horizontal="center" vertical="center" wrapText="1"/>
      <protection/>
    </xf>
    <xf numFmtId="0" fontId="17" fillId="5" borderId="58" xfId="403" applyFont="1" applyFill="1" applyBorder="1" applyAlignment="1">
      <alignment vertical="center" wrapText="1"/>
      <protection/>
    </xf>
    <xf numFmtId="0" fontId="29" fillId="5" borderId="36" xfId="403" applyFont="1" applyFill="1" applyBorder="1" applyAlignment="1">
      <alignment vertical="center" wrapText="1"/>
      <protection/>
    </xf>
    <xf numFmtId="0" fontId="17" fillId="2" borderId="42" xfId="0" applyNumberFormat="1" applyFont="1" applyFill="1" applyBorder="1" applyAlignment="1">
      <alignment horizontal="left" vertical="center" wrapText="1"/>
    </xf>
    <xf numFmtId="0" fontId="17" fillId="5" borderId="25" xfId="403" applyFont="1" applyFill="1" applyBorder="1" applyAlignment="1">
      <alignment horizontal="center"/>
      <protection/>
    </xf>
    <xf numFmtId="0" fontId="27" fillId="2" borderId="42" xfId="403" applyFont="1" applyFill="1" applyBorder="1" applyAlignment="1">
      <alignment vertical="center" wrapText="1"/>
      <protection/>
    </xf>
    <xf numFmtId="0" fontId="17" fillId="2" borderId="0" xfId="0" applyFont="1" applyFill="1" applyAlignment="1">
      <alignment horizontal="left"/>
    </xf>
    <xf numFmtId="0" fontId="17" fillId="0" borderId="22" xfId="403" applyFont="1" applyFill="1" applyBorder="1" applyAlignment="1">
      <alignment vertical="center" wrapText="1"/>
      <protection/>
    </xf>
    <xf numFmtId="0" fontId="17" fillId="5" borderId="59" xfId="403" applyFont="1" applyFill="1" applyBorder="1" applyAlignment="1">
      <alignment horizontal="center" vertical="center" wrapText="1"/>
      <protection/>
    </xf>
    <xf numFmtId="0" fontId="37" fillId="0" borderId="1" xfId="0" applyFont="1" applyFill="1" applyBorder="1" applyAlignment="1">
      <alignment horizontal="left" vertical="center" wrapText="1"/>
    </xf>
    <xf numFmtId="0" fontId="27" fillId="0" borderId="13" xfId="403" applyFont="1" applyFill="1" applyBorder="1" applyAlignment="1">
      <alignment horizontal="center" vertical="center" wrapText="1"/>
      <protection/>
    </xf>
    <xf numFmtId="3" fontId="17" fillId="0" borderId="0" xfId="403" applyNumberFormat="1" applyFont="1" applyAlignment="1">
      <alignment vertical="center" wrapText="1"/>
      <protection/>
    </xf>
    <xf numFmtId="0" fontId="17" fillId="0" borderId="59" xfId="403" applyFont="1" applyFill="1" applyBorder="1" applyAlignment="1">
      <alignment horizontal="center" vertical="center" wrapText="1"/>
      <protection/>
    </xf>
    <xf numFmtId="0" fontId="17" fillId="0" borderId="0" xfId="403" applyFont="1" applyFill="1" applyAlignment="1">
      <alignment vertical="center" wrapText="1"/>
      <protection/>
    </xf>
    <xf numFmtId="3" fontId="17" fillId="0" borderId="0" xfId="403" applyNumberFormat="1" applyFont="1" applyFill="1" applyAlignment="1">
      <alignment vertical="center" wrapText="1"/>
      <protection/>
    </xf>
    <xf numFmtId="0" fontId="17" fillId="5" borderId="15" xfId="403" applyFont="1" applyFill="1" applyBorder="1" applyAlignment="1">
      <alignment horizontal="center" vertical="center" wrapText="1"/>
      <protection/>
    </xf>
    <xf numFmtId="0" fontId="17" fillId="5" borderId="60" xfId="403" applyFont="1" applyFill="1" applyBorder="1" applyAlignment="1">
      <alignment horizontal="center" vertical="center" wrapText="1"/>
      <protection/>
    </xf>
    <xf numFmtId="0" fontId="37" fillId="0" borderId="17" xfId="0" applyFont="1" applyFill="1" applyBorder="1" applyAlignment="1">
      <alignment horizontal="left" vertical="center" wrapText="1"/>
    </xf>
    <xf numFmtId="0" fontId="25" fillId="5" borderId="25" xfId="403" applyFont="1" applyFill="1" applyBorder="1" applyAlignment="1">
      <alignment horizontal="center"/>
      <protection/>
    </xf>
    <xf numFmtId="0" fontId="17" fillId="5" borderId="27" xfId="403" applyFont="1" applyFill="1" applyBorder="1" applyAlignment="1">
      <alignment horizontal="center"/>
      <protection/>
    </xf>
    <xf numFmtId="0" fontId="27" fillId="2" borderId="9" xfId="403" applyFont="1" applyFill="1" applyBorder="1" applyAlignment="1">
      <alignment horizontal="center" vertical="center"/>
      <protection/>
    </xf>
    <xf numFmtId="3" fontId="27" fillId="2" borderId="12" xfId="403" applyNumberFormat="1" applyFont="1" applyFill="1" applyBorder="1" applyAlignment="1">
      <alignment vertical="center"/>
      <protection/>
    </xf>
    <xf numFmtId="3" fontId="17" fillId="2" borderId="14" xfId="403" applyNumberFormat="1" applyFont="1" applyFill="1" applyBorder="1" applyAlignment="1">
      <alignment vertical="center"/>
      <protection/>
    </xf>
    <xf numFmtId="0" fontId="45" fillId="5" borderId="25" xfId="403" applyFont="1" applyFill="1" applyBorder="1" applyAlignment="1">
      <alignment horizontal="center"/>
      <protection/>
    </xf>
    <xf numFmtId="0" fontId="17" fillId="0" borderId="25" xfId="403" applyFont="1" applyFill="1" applyBorder="1" applyAlignment="1">
      <alignment horizontal="center"/>
      <protection/>
    </xf>
    <xf numFmtId="0" fontId="29" fillId="0" borderId="1" xfId="403" applyFont="1" applyFill="1" applyBorder="1" applyAlignment="1">
      <alignment horizontal="center" vertical="center"/>
      <protection/>
    </xf>
    <xf numFmtId="0" fontId="29" fillId="0" borderId="1" xfId="403" applyFont="1" applyFill="1" applyBorder="1" applyAlignment="1">
      <alignment vertical="center" wrapText="1"/>
      <protection/>
    </xf>
    <xf numFmtId="0" fontId="45" fillId="5" borderId="38" xfId="403" applyFont="1" applyFill="1" applyBorder="1" applyAlignment="1">
      <alignment horizontal="center"/>
      <protection/>
    </xf>
    <xf numFmtId="0" fontId="17" fillId="5" borderId="34" xfId="403" applyFont="1" applyFill="1" applyBorder="1" applyAlignment="1">
      <alignment horizontal="center"/>
      <protection/>
    </xf>
    <xf numFmtId="0" fontId="25" fillId="5" borderId="38" xfId="403" applyFont="1" applyFill="1" applyBorder="1" applyAlignment="1">
      <alignment horizontal="center"/>
      <protection/>
    </xf>
    <xf numFmtId="0" fontId="29" fillId="0" borderId="44" xfId="403" applyFont="1" applyBorder="1" applyAlignment="1">
      <alignment horizontal="center" vertical="center" wrapText="1"/>
      <protection/>
    </xf>
    <xf numFmtId="3" fontId="30" fillId="5" borderId="4" xfId="403" applyNumberFormat="1" applyFont="1" applyFill="1" applyBorder="1" applyAlignment="1">
      <alignment horizontal="right" vertical="center" wrapText="1"/>
      <protection/>
    </xf>
    <xf numFmtId="0" fontId="29" fillId="0" borderId="34" xfId="403" applyFont="1" applyBorder="1" applyAlignment="1">
      <alignment horizontal="center" vertical="center" wrapText="1"/>
      <protection/>
    </xf>
    <xf numFmtId="0" fontId="29" fillId="0" borderId="29" xfId="403" applyFont="1" applyBorder="1" applyAlignment="1">
      <alignment horizontal="center" vertical="center" wrapText="1"/>
      <protection/>
    </xf>
    <xf numFmtId="0" fontId="29" fillId="0" borderId="0" xfId="403" applyFont="1">
      <alignment/>
      <protection/>
    </xf>
    <xf numFmtId="0" fontId="17" fillId="5" borderId="13" xfId="403" applyFont="1" applyFill="1" applyBorder="1" applyAlignment="1">
      <alignment horizontal="center" vertical="center" wrapText="1"/>
      <protection/>
    </xf>
    <xf numFmtId="0" fontId="17" fillId="5" borderId="34" xfId="403" applyFont="1" applyFill="1" applyBorder="1" applyAlignment="1">
      <alignment vertical="center" wrapText="1"/>
      <protection/>
    </xf>
    <xf numFmtId="0" fontId="29" fillId="0" borderId="47" xfId="403" applyFont="1" applyBorder="1" applyAlignment="1">
      <alignment horizontal="center" vertical="center" wrapText="1"/>
      <protection/>
    </xf>
    <xf numFmtId="0" fontId="44" fillId="0" borderId="0" xfId="403" applyFont="1">
      <alignment/>
      <protection/>
    </xf>
    <xf numFmtId="0" fontId="37" fillId="0" borderId="1" xfId="0" applyFont="1" applyFill="1" applyBorder="1" applyAlignment="1">
      <alignment horizontal="left"/>
    </xf>
    <xf numFmtId="0" fontId="29" fillId="0" borderId="33" xfId="0" applyFont="1" applyFill="1" applyBorder="1" applyAlignment="1">
      <alignment horizontal="left"/>
    </xf>
    <xf numFmtId="0" fontId="37" fillId="0" borderId="17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0" fontId="29" fillId="0" borderId="45" xfId="0" applyFont="1" applyFill="1" applyBorder="1" applyAlignment="1">
      <alignment horizontal="left" vertical="center" wrapText="1"/>
    </xf>
    <xf numFmtId="4" fontId="30" fillId="0" borderId="4" xfId="403" applyNumberFormat="1" applyFont="1" applyBorder="1">
      <alignment/>
      <protection/>
    </xf>
    <xf numFmtId="4" fontId="27" fillId="2" borderId="12" xfId="403" applyNumberFormat="1" applyFont="1" applyFill="1" applyBorder="1" applyAlignment="1">
      <alignment horizontal="right" vertical="center" wrapText="1"/>
      <protection/>
    </xf>
    <xf numFmtId="4" fontId="17" fillId="2" borderId="14" xfId="403" applyNumberFormat="1" applyFont="1" applyFill="1" applyBorder="1" applyAlignment="1">
      <alignment horizontal="right" vertical="center" wrapText="1"/>
      <protection/>
    </xf>
    <xf numFmtId="0" fontId="29" fillId="5" borderId="1" xfId="403" applyFont="1" applyFill="1" applyBorder="1" applyAlignment="1">
      <alignment horizontal="center"/>
      <protection/>
    </xf>
    <xf numFmtId="0" fontId="29" fillId="0" borderId="33" xfId="0" applyFont="1" applyFill="1" applyBorder="1" applyAlignment="1">
      <alignment horizontal="left" wrapText="1"/>
    </xf>
    <xf numFmtId="0" fontId="29" fillId="0" borderId="1" xfId="403" applyFont="1" applyBorder="1" applyAlignment="1">
      <alignment horizontal="center"/>
      <protection/>
    </xf>
    <xf numFmtId="0" fontId="17" fillId="2" borderId="28" xfId="403" applyFont="1" applyFill="1" applyBorder="1" applyAlignment="1">
      <alignment vertical="center" wrapText="1"/>
      <protection/>
    </xf>
    <xf numFmtId="0" fontId="17" fillId="2" borderId="52" xfId="403" applyFont="1" applyFill="1" applyBorder="1" applyAlignment="1">
      <alignment vertical="center" wrapText="1"/>
      <protection/>
    </xf>
    <xf numFmtId="3" fontId="27" fillId="2" borderId="61" xfId="403" applyNumberFormat="1" applyFont="1" applyFill="1" applyBorder="1" applyAlignment="1">
      <alignment horizontal="right" vertical="center" wrapText="1"/>
      <protection/>
    </xf>
    <xf numFmtId="0" fontId="29" fillId="5" borderId="29" xfId="403" applyFont="1" applyFill="1" applyBorder="1" applyAlignment="1">
      <alignment vertical="center" wrapText="1"/>
      <protection/>
    </xf>
    <xf numFmtId="0" fontId="29" fillId="5" borderId="15" xfId="403" applyFont="1" applyFill="1" applyBorder="1" applyAlignment="1">
      <alignment vertical="center" wrapText="1"/>
      <protection/>
    </xf>
    <xf numFmtId="0" fontId="29" fillId="5" borderId="34" xfId="403" applyFont="1" applyFill="1" applyBorder="1" applyAlignment="1">
      <alignment vertical="center" wrapText="1"/>
      <protection/>
    </xf>
    <xf numFmtId="0" fontId="17" fillId="0" borderId="0" xfId="409" applyFont="1" applyAlignment="1">
      <alignment vertical="center" wrapText="1"/>
      <protection/>
    </xf>
    <xf numFmtId="0" fontId="17" fillId="5" borderId="29" xfId="409" applyFont="1" applyFill="1" applyBorder="1" applyAlignment="1">
      <alignment horizontal="center" vertical="center" wrapText="1"/>
      <protection/>
    </xf>
    <xf numFmtId="0" fontId="29" fillId="0" borderId="33" xfId="409" applyFont="1" applyBorder="1" applyAlignment="1">
      <alignment vertical="center" wrapText="1"/>
      <protection/>
    </xf>
    <xf numFmtId="0" fontId="17" fillId="5" borderId="0" xfId="409" applyFont="1" applyFill="1" applyBorder="1" applyAlignment="1">
      <alignment horizontal="center" vertical="center" wrapText="1"/>
      <protection/>
    </xf>
    <xf numFmtId="0" fontId="29" fillId="0" borderId="27" xfId="409" applyFont="1" applyBorder="1" applyAlignment="1">
      <alignment horizontal="center" vertical="center" wrapText="1"/>
      <protection/>
    </xf>
    <xf numFmtId="3" fontId="17" fillId="0" borderId="0" xfId="409" applyNumberFormat="1" applyFont="1">
      <alignment/>
      <protection/>
    </xf>
    <xf numFmtId="0" fontId="17" fillId="5" borderId="15" xfId="409" applyFont="1" applyFill="1" applyBorder="1" applyAlignment="1">
      <alignment vertical="center" wrapText="1"/>
      <protection/>
    </xf>
    <xf numFmtId="0" fontId="17" fillId="5" borderId="34" xfId="409" applyFont="1" applyFill="1" applyBorder="1" applyAlignment="1">
      <alignment horizontal="center" vertical="center" wrapText="1"/>
      <protection/>
    </xf>
    <xf numFmtId="0" fontId="29" fillId="0" borderId="62" xfId="0" applyFont="1" applyFill="1" applyBorder="1" applyAlignment="1">
      <alignment horizontal="left" wrapText="1"/>
    </xf>
    <xf numFmtId="0" fontId="29" fillId="0" borderId="63" xfId="0" applyFont="1" applyFill="1" applyBorder="1" applyAlignment="1">
      <alignment horizontal="left" wrapText="1"/>
    </xf>
    <xf numFmtId="0" fontId="29" fillId="0" borderId="64" xfId="0" applyFont="1" applyFill="1" applyBorder="1" applyAlignment="1">
      <alignment horizontal="left" wrapText="1"/>
    </xf>
    <xf numFmtId="0" fontId="17" fillId="0" borderId="15" xfId="403" applyFont="1" applyBorder="1" applyAlignment="1">
      <alignment vertical="center" wrapText="1"/>
      <protection/>
    </xf>
    <xf numFmtId="0" fontId="17" fillId="5" borderId="22" xfId="403" applyFont="1" applyFill="1" applyBorder="1" applyAlignment="1">
      <alignment horizontal="center"/>
      <protection/>
    </xf>
    <xf numFmtId="0" fontId="25" fillId="5" borderId="15" xfId="403" applyFont="1" applyFill="1" applyBorder="1" applyAlignment="1">
      <alignment horizontal="center"/>
      <protection/>
    </xf>
    <xf numFmtId="0" fontId="17" fillId="0" borderId="17" xfId="403" applyFont="1" applyBorder="1" applyAlignment="1">
      <alignment horizontal="center" vertical="center"/>
      <protection/>
    </xf>
    <xf numFmtId="0" fontId="29" fillId="0" borderId="45" xfId="409" applyFont="1" applyBorder="1" applyAlignment="1">
      <alignment vertical="center" wrapText="1"/>
      <protection/>
    </xf>
    <xf numFmtId="0" fontId="27" fillId="2" borderId="11" xfId="403" applyFont="1" applyFill="1" applyBorder="1">
      <alignment/>
      <protection/>
    </xf>
    <xf numFmtId="0" fontId="17" fillId="2" borderId="33" xfId="403" applyFont="1" applyFill="1" applyBorder="1" applyAlignment="1">
      <alignment horizontal="left"/>
      <protection/>
    </xf>
    <xf numFmtId="0" fontId="29" fillId="5" borderId="38" xfId="403" applyFont="1" applyFill="1" applyBorder="1">
      <alignment/>
      <protection/>
    </xf>
    <xf numFmtId="0" fontId="29" fillId="5" borderId="34" xfId="403" applyFont="1" applyFill="1" applyBorder="1" applyAlignment="1">
      <alignment horizontal="center"/>
      <protection/>
    </xf>
    <xf numFmtId="0" fontId="17" fillId="2" borderId="10" xfId="403" applyFont="1" applyFill="1" applyBorder="1" applyAlignment="1">
      <alignment vertical="center"/>
      <protection/>
    </xf>
    <xf numFmtId="0" fontId="17" fillId="5" borderId="38" xfId="403" applyFont="1" applyFill="1" applyBorder="1">
      <alignment/>
      <protection/>
    </xf>
    <xf numFmtId="0" fontId="29" fillId="0" borderId="17" xfId="403" applyFont="1" applyBorder="1" applyAlignment="1">
      <alignment horizontal="center"/>
      <protection/>
    </xf>
    <xf numFmtId="0" fontId="29" fillId="0" borderId="45" xfId="0" applyFont="1" applyFill="1" applyBorder="1" applyAlignment="1">
      <alignment horizontal="left" wrapText="1"/>
    </xf>
    <xf numFmtId="3" fontId="40" fillId="0" borderId="55" xfId="0" applyNumberFormat="1" applyFont="1" applyFill="1" applyBorder="1" applyAlignment="1">
      <alignment horizontal="right" vertical="center"/>
    </xf>
    <xf numFmtId="4" fontId="5" fillId="2" borderId="32" xfId="0" applyNumberFormat="1" applyFont="1" applyFill="1" applyBorder="1" applyAlignment="1">
      <alignment horizontal="right" vertical="center"/>
    </xf>
    <xf numFmtId="4" fontId="40" fillId="0" borderId="14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29" fillId="0" borderId="15" xfId="403" applyFont="1" applyFill="1" applyBorder="1" applyAlignment="1">
      <alignment vertical="center" wrapText="1"/>
      <protection/>
    </xf>
    <xf numFmtId="0" fontId="29" fillId="0" borderId="16" xfId="403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0" fontId="17" fillId="5" borderId="39" xfId="403" applyFont="1" applyFill="1" applyBorder="1" applyAlignment="1">
      <alignment vertical="center" wrapText="1"/>
      <protection/>
    </xf>
    <xf numFmtId="3" fontId="13" fillId="2" borderId="12" xfId="0" applyNumberFormat="1" applyFont="1" applyFill="1" applyBorder="1" applyAlignment="1">
      <alignment horizontal="right" vertical="center"/>
    </xf>
    <xf numFmtId="0" fontId="17" fillId="0" borderId="0" xfId="408" applyFont="1" applyFill="1" applyBorder="1">
      <alignment/>
      <protection/>
    </xf>
    <xf numFmtId="0" fontId="17" fillId="0" borderId="0" xfId="408" applyFont="1" applyFill="1" applyBorder="1" applyAlignment="1">
      <alignment horizontal="center"/>
      <protection/>
    </xf>
    <xf numFmtId="4" fontId="17" fillId="0" borderId="0" xfId="408" applyNumberFormat="1" applyFont="1" applyFill="1" applyBorder="1">
      <alignment/>
      <protection/>
    </xf>
    <xf numFmtId="0" fontId="25" fillId="0" borderId="0" xfId="408" applyFont="1" applyFill="1" applyBorder="1">
      <alignment/>
      <protection/>
    </xf>
    <xf numFmtId="2" fontId="17" fillId="0" borderId="0" xfId="408" applyNumberFormat="1" applyFont="1" applyFill="1" applyBorder="1">
      <alignment/>
      <protection/>
    </xf>
    <xf numFmtId="0" fontId="27" fillId="2" borderId="20" xfId="403" applyFont="1" applyFill="1" applyBorder="1" applyAlignment="1">
      <alignment horizontal="center"/>
      <protection/>
    </xf>
    <xf numFmtId="0" fontId="17" fillId="2" borderId="48" xfId="403" applyFont="1" applyFill="1" applyBorder="1">
      <alignment/>
      <protection/>
    </xf>
    <xf numFmtId="0" fontId="27" fillId="2" borderId="65" xfId="403" applyFont="1" applyFill="1" applyBorder="1" applyAlignment="1">
      <alignment vertical="center" wrapText="1"/>
      <protection/>
    </xf>
    <xf numFmtId="0" fontId="17" fillId="2" borderId="11" xfId="0" applyFont="1" applyFill="1" applyBorder="1" applyAlignment="1">
      <alignment horizontal="left" vertical="center" wrapText="1"/>
    </xf>
    <xf numFmtId="0" fontId="17" fillId="0" borderId="27" xfId="403" applyFont="1" applyFill="1" applyBorder="1" applyAlignment="1">
      <alignment vertical="center" wrapText="1"/>
      <protection/>
    </xf>
    <xf numFmtId="0" fontId="17" fillId="0" borderId="0" xfId="408" applyFont="1" applyBorder="1" applyAlignment="1">
      <alignment horizontal="center"/>
      <protection/>
    </xf>
    <xf numFmtId="3" fontId="25" fillId="0" borderId="0" xfId="0" applyNumberFormat="1" applyFont="1" applyFill="1" applyBorder="1" applyAlignment="1">
      <alignment vertical="top" wrapText="1"/>
    </xf>
    <xf numFmtId="0" fontId="17" fillId="0" borderId="0" xfId="408" applyFont="1" applyBorder="1">
      <alignment/>
      <protection/>
    </xf>
    <xf numFmtId="0" fontId="17" fillId="0" borderId="0" xfId="408" applyFont="1" applyFill="1" applyBorder="1" applyAlignment="1">
      <alignment horizontal="center"/>
      <protection/>
    </xf>
    <xf numFmtId="0" fontId="17" fillId="0" borderId="0" xfId="408" applyFont="1" applyFill="1" applyBorder="1">
      <alignment/>
      <protection/>
    </xf>
    <xf numFmtId="3" fontId="27" fillId="0" borderId="0" xfId="408" applyNumberFormat="1" applyFont="1" applyFill="1" applyBorder="1" applyAlignment="1">
      <alignment horizontal="right"/>
      <protection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/>
    </xf>
    <xf numFmtId="3" fontId="17" fillId="0" borderId="0" xfId="408" applyNumberFormat="1" applyFont="1" applyBorder="1">
      <alignment/>
      <protection/>
    </xf>
    <xf numFmtId="3" fontId="17" fillId="0" borderId="0" xfId="408" applyNumberFormat="1" applyFont="1" applyFill="1" applyBorder="1" applyAlignment="1">
      <alignment horizontal="right"/>
      <protection/>
    </xf>
    <xf numFmtId="3" fontId="27" fillId="0" borderId="0" xfId="408" applyNumberFormat="1" applyFont="1" applyFill="1" applyBorder="1" applyAlignment="1">
      <alignment horizontal="center"/>
      <protection/>
    </xf>
    <xf numFmtId="4" fontId="17" fillId="0" borderId="0" xfId="408" applyNumberFormat="1" applyFont="1" applyBorder="1">
      <alignment/>
      <protection/>
    </xf>
    <xf numFmtId="2" fontId="17" fillId="0" borderId="0" xfId="408" applyNumberFormat="1" applyFont="1" applyBorder="1">
      <alignment/>
      <protection/>
    </xf>
    <xf numFmtId="3" fontId="25" fillId="0" borderId="0" xfId="408" applyNumberFormat="1" applyFont="1" applyFill="1" applyBorder="1" applyAlignment="1">
      <alignment horizontal="center"/>
      <protection/>
    </xf>
    <xf numFmtId="3" fontId="27" fillId="0" borderId="0" xfId="408" applyNumberFormat="1" applyFont="1" applyFill="1" applyBorder="1">
      <alignment/>
      <protection/>
    </xf>
    <xf numFmtId="3" fontId="27" fillId="2" borderId="4" xfId="403" applyNumberFormat="1" applyFont="1" applyFill="1" applyBorder="1" applyAlignment="1">
      <alignment vertical="center" wrapText="1"/>
      <protection/>
    </xf>
    <xf numFmtId="3" fontId="17" fillId="2" borderId="30" xfId="403" applyNumberFormat="1" applyFont="1" applyFill="1" applyBorder="1" applyAlignment="1">
      <alignment vertical="center" wrapText="1"/>
      <protection/>
    </xf>
    <xf numFmtId="0" fontId="17" fillId="5" borderId="25" xfId="408" applyFont="1" applyFill="1" applyBorder="1" applyAlignment="1">
      <alignment horizontal="center"/>
      <protection/>
    </xf>
    <xf numFmtId="0" fontId="17" fillId="5" borderId="29" xfId="408" applyFont="1" applyFill="1" applyBorder="1" applyAlignment="1">
      <alignment horizontal="center"/>
      <protection/>
    </xf>
    <xf numFmtId="0" fontId="17" fillId="0" borderId="1" xfId="408" applyFont="1" applyFill="1" applyBorder="1" applyAlignment="1">
      <alignment horizontal="center"/>
      <protection/>
    </xf>
    <xf numFmtId="3" fontId="17" fillId="0" borderId="33" xfId="408" applyNumberFormat="1" applyFont="1" applyFill="1" applyBorder="1">
      <alignment/>
      <protection/>
    </xf>
    <xf numFmtId="3" fontId="27" fillId="2" borderId="7" xfId="403" applyNumberFormat="1" applyFont="1" applyFill="1" applyBorder="1" applyAlignment="1">
      <alignment vertical="center" wrapText="1"/>
      <protection/>
    </xf>
    <xf numFmtId="3" fontId="17" fillId="2" borderId="42" xfId="403" applyNumberFormat="1" applyFont="1" applyFill="1" applyBorder="1" applyAlignment="1">
      <alignment vertical="center" wrapText="1"/>
      <protection/>
    </xf>
    <xf numFmtId="3" fontId="17" fillId="2" borderId="33" xfId="403" applyNumberFormat="1" applyFont="1" applyFill="1" applyBorder="1" applyAlignment="1">
      <alignment vertical="center" wrapText="1"/>
      <protection/>
    </xf>
    <xf numFmtId="0" fontId="17" fillId="0" borderId="25" xfId="408" applyFont="1" applyFill="1" applyBorder="1" applyAlignment="1">
      <alignment horizontal="center"/>
      <protection/>
    </xf>
    <xf numFmtId="0" fontId="17" fillId="5" borderId="38" xfId="408" applyFont="1" applyFill="1" applyBorder="1" applyAlignment="1">
      <alignment horizontal="center"/>
      <protection/>
    </xf>
    <xf numFmtId="0" fontId="17" fillId="5" borderId="34" xfId="408" applyFont="1" applyFill="1" applyBorder="1" applyAlignment="1">
      <alignment horizontal="center"/>
      <protection/>
    </xf>
    <xf numFmtId="0" fontId="17" fillId="0" borderId="17" xfId="408" applyFont="1" applyFill="1" applyBorder="1" applyAlignment="1">
      <alignment horizontal="center"/>
      <protection/>
    </xf>
    <xf numFmtId="0" fontId="17" fillId="0" borderId="45" xfId="408" applyFont="1" applyFill="1" applyBorder="1">
      <alignment/>
      <protection/>
    </xf>
    <xf numFmtId="3" fontId="17" fillId="0" borderId="45" xfId="408" applyNumberFormat="1" applyFont="1" applyFill="1" applyBorder="1">
      <alignment/>
      <protection/>
    </xf>
    <xf numFmtId="3" fontId="17" fillId="0" borderId="33" xfId="403" applyNumberFormat="1" applyFont="1" applyFill="1" applyBorder="1" applyAlignment="1">
      <alignment vertical="center" wrapText="1"/>
      <protection/>
    </xf>
    <xf numFmtId="3" fontId="17" fillId="0" borderId="33" xfId="408" applyNumberFormat="1" applyFont="1" applyFill="1" applyBorder="1">
      <alignment/>
      <protection/>
    </xf>
    <xf numFmtId="3" fontId="17" fillId="0" borderId="0" xfId="408" applyNumberFormat="1" applyFont="1" applyFill="1" applyBorder="1">
      <alignment/>
      <protection/>
    </xf>
    <xf numFmtId="3" fontId="17" fillId="2" borderId="37" xfId="403" applyNumberFormat="1" applyFont="1" applyFill="1" applyBorder="1" applyAlignment="1">
      <alignment horizontal="right" vertical="center" wrapText="1"/>
      <protection/>
    </xf>
    <xf numFmtId="3" fontId="37" fillId="0" borderId="14" xfId="0" applyNumberFormat="1" applyFont="1" applyFill="1" applyBorder="1" applyAlignment="1">
      <alignment horizontal="right" vertical="center"/>
    </xf>
    <xf numFmtId="3" fontId="29" fillId="0" borderId="32" xfId="403" applyNumberFormat="1" applyFont="1" applyFill="1" applyBorder="1" applyAlignment="1">
      <alignment horizontal="right" vertical="center" wrapText="1"/>
      <protection/>
    </xf>
    <xf numFmtId="3" fontId="37" fillId="0" borderId="18" xfId="0" applyNumberFormat="1" applyFont="1" applyFill="1" applyBorder="1" applyAlignment="1">
      <alignment horizontal="right" vertical="center"/>
    </xf>
    <xf numFmtId="3" fontId="37" fillId="0" borderId="14" xfId="0" applyNumberFormat="1" applyFont="1" applyFill="1" applyBorder="1" applyAlignment="1">
      <alignment horizontal="right" vertical="center" wrapText="1"/>
    </xf>
    <xf numFmtId="3" fontId="37" fillId="0" borderId="18" xfId="0" applyNumberFormat="1" applyFont="1" applyFill="1" applyBorder="1" applyAlignment="1">
      <alignment horizontal="right" vertical="center" wrapText="1"/>
    </xf>
    <xf numFmtId="3" fontId="29" fillId="0" borderId="14" xfId="403" applyNumberFormat="1" applyFont="1" applyFill="1" applyBorder="1" applyAlignment="1">
      <alignment vertical="center"/>
      <protection/>
    </xf>
    <xf numFmtId="3" fontId="29" fillId="0" borderId="37" xfId="403" applyNumberFormat="1" applyFont="1" applyFill="1" applyBorder="1" applyAlignment="1">
      <alignment vertical="center"/>
      <protection/>
    </xf>
    <xf numFmtId="0" fontId="17" fillId="2" borderId="1" xfId="0" applyFont="1" applyFill="1" applyBorder="1" applyAlignment="1">
      <alignment horizontal="left"/>
    </xf>
    <xf numFmtId="0" fontId="17" fillId="2" borderId="28" xfId="0" applyFont="1" applyFill="1" applyBorder="1" applyAlignment="1">
      <alignment horizontal="left"/>
    </xf>
    <xf numFmtId="3" fontId="12" fillId="5" borderId="0" xfId="0" applyNumberFormat="1" applyFont="1" applyFill="1" applyAlignment="1">
      <alignment vertical="center"/>
    </xf>
    <xf numFmtId="3" fontId="25" fillId="5" borderId="0" xfId="0" applyNumberFormat="1" applyFont="1" applyFill="1" applyAlignment="1">
      <alignment vertical="top" wrapText="1"/>
    </xf>
    <xf numFmtId="3" fontId="38" fillId="7" borderId="4" xfId="0" applyNumberFormat="1" applyFont="1" applyFill="1" applyBorder="1" applyAlignment="1">
      <alignment horizontal="center" vertical="center"/>
    </xf>
    <xf numFmtId="3" fontId="12" fillId="7" borderId="0" xfId="0" applyNumberFormat="1" applyFont="1" applyFill="1" applyAlignment="1">
      <alignment horizontal="left" vertical="center"/>
    </xf>
    <xf numFmtId="3" fontId="40" fillId="7" borderId="14" xfId="0" applyNumberFormat="1" applyFont="1" applyFill="1" applyBorder="1" applyAlignment="1">
      <alignment horizontal="right" vertical="center"/>
    </xf>
    <xf numFmtId="3" fontId="40" fillId="7" borderId="37" xfId="0" applyNumberFormat="1" applyFont="1" applyFill="1" applyBorder="1" applyAlignment="1">
      <alignment horizontal="right" vertical="center"/>
    </xf>
    <xf numFmtId="3" fontId="40" fillId="7" borderId="18" xfId="0" applyNumberFormat="1" applyFont="1" applyFill="1" applyBorder="1" applyAlignment="1">
      <alignment horizontal="right" vertical="center"/>
    </xf>
    <xf numFmtId="3" fontId="40" fillId="7" borderId="14" xfId="0" applyNumberFormat="1" applyFont="1" applyFill="1" applyBorder="1" applyAlignment="1">
      <alignment horizontal="right" vertical="center"/>
    </xf>
    <xf numFmtId="3" fontId="40" fillId="5" borderId="14" xfId="0" applyNumberFormat="1" applyFont="1" applyFill="1" applyBorder="1" applyAlignment="1">
      <alignment horizontal="right" vertical="center"/>
    </xf>
    <xf numFmtId="3" fontId="40" fillId="7" borderId="18" xfId="0" applyNumberFormat="1" applyFont="1" applyFill="1" applyBorder="1" applyAlignment="1">
      <alignment horizontal="right" vertical="center"/>
    </xf>
    <xf numFmtId="3" fontId="40" fillId="7" borderId="66" xfId="0" applyNumberFormat="1" applyFont="1" applyFill="1" applyBorder="1" applyAlignment="1">
      <alignment horizontal="right" vertical="center"/>
    </xf>
    <xf numFmtId="4" fontId="40" fillId="0" borderId="30" xfId="0" applyNumberFormat="1" applyFont="1" applyFill="1" applyBorder="1" applyAlignment="1">
      <alignment horizontal="right" vertical="center"/>
    </xf>
    <xf numFmtId="3" fontId="40" fillId="7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3" fontId="29" fillId="5" borderId="30" xfId="403" applyNumberFormat="1" applyFont="1" applyFill="1" applyBorder="1" applyAlignment="1">
      <alignment horizontal="right" vertical="center" wrapText="1"/>
      <protection/>
    </xf>
    <xf numFmtId="3" fontId="27" fillId="2" borderId="40" xfId="403" applyNumberFormat="1" applyFont="1" applyFill="1" applyBorder="1" applyAlignment="1">
      <alignment horizontal="right"/>
      <protection/>
    </xf>
    <xf numFmtId="3" fontId="29" fillId="5" borderId="55" xfId="403" applyNumberFormat="1" applyFont="1" applyFill="1" applyBorder="1" applyAlignment="1">
      <alignment horizontal="right" vertical="center" wrapText="1"/>
      <protection/>
    </xf>
    <xf numFmtId="3" fontId="17" fillId="0" borderId="14" xfId="403" applyNumberFormat="1" applyFont="1" applyFill="1" applyBorder="1" applyAlignment="1">
      <alignment horizontal="right" vertical="center" wrapText="1"/>
      <protection/>
    </xf>
    <xf numFmtId="3" fontId="37" fillId="0" borderId="18" xfId="0" applyNumberFormat="1" applyFont="1" applyFill="1" applyBorder="1" applyAlignment="1">
      <alignment horizontal="right"/>
    </xf>
    <xf numFmtId="4" fontId="29" fillId="5" borderId="14" xfId="403" applyNumberFormat="1" applyFont="1" applyFill="1" applyBorder="1" applyAlignment="1">
      <alignment horizontal="right" vertical="center" wrapText="1"/>
      <protection/>
    </xf>
    <xf numFmtId="4" fontId="29" fillId="5" borderId="18" xfId="403" applyNumberFormat="1" applyFont="1" applyFill="1" applyBorder="1" applyAlignment="1">
      <alignment horizontal="right" vertical="center" wrapText="1"/>
      <protection/>
    </xf>
    <xf numFmtId="3" fontId="29" fillId="0" borderId="67" xfId="403" applyNumberFormat="1" applyFont="1" applyFill="1" applyBorder="1" applyAlignment="1">
      <alignment horizontal="right" vertical="center" wrapText="1"/>
      <protection/>
    </xf>
    <xf numFmtId="3" fontId="29" fillId="5" borderId="14" xfId="409" applyNumberFormat="1" applyFont="1" applyFill="1" applyBorder="1" applyAlignment="1">
      <alignment horizontal="right" vertical="center" wrapText="1"/>
      <protection/>
    </xf>
    <xf numFmtId="3" fontId="29" fillId="5" borderId="30" xfId="409" applyNumberFormat="1" applyFont="1" applyFill="1" applyBorder="1" applyAlignment="1">
      <alignment horizontal="right" vertical="center" wrapText="1"/>
      <protection/>
    </xf>
    <xf numFmtId="3" fontId="29" fillId="5" borderId="32" xfId="403" applyNumberFormat="1" applyFont="1" applyFill="1" applyBorder="1" applyAlignment="1">
      <alignment horizontal="right" vertical="center" wrapText="1"/>
      <protection/>
    </xf>
    <xf numFmtId="3" fontId="17" fillId="2" borderId="56" xfId="403" applyNumberFormat="1" applyFont="1" applyFill="1" applyBorder="1" applyAlignment="1">
      <alignment horizontal="right" vertical="center" wrapText="1"/>
      <protection/>
    </xf>
    <xf numFmtId="3" fontId="29" fillId="5" borderId="67" xfId="403" applyNumberFormat="1" applyFont="1" applyFill="1" applyBorder="1" applyAlignment="1">
      <alignment horizontal="right" vertical="center" wrapText="1"/>
      <protection/>
    </xf>
    <xf numFmtId="3" fontId="27" fillId="2" borderId="61" xfId="403" applyNumberFormat="1" applyFont="1" applyFill="1" applyBorder="1" applyAlignment="1">
      <alignment horizontal="right" vertical="center"/>
      <protection/>
    </xf>
    <xf numFmtId="3" fontId="29" fillId="5" borderId="32" xfId="403" applyNumberFormat="1" applyFont="1" applyFill="1" applyBorder="1" applyAlignment="1">
      <alignment horizontal="right"/>
      <protection/>
    </xf>
    <xf numFmtId="3" fontId="29" fillId="5" borderId="67" xfId="403" applyNumberFormat="1" applyFont="1" applyFill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7" fillId="7" borderId="27" xfId="0" applyFont="1" applyFill="1" applyBorder="1" applyAlignment="1">
      <alignment horizontal="center" vertical="center"/>
    </xf>
    <xf numFmtId="3" fontId="40" fillId="7" borderId="30" xfId="0" applyNumberFormat="1" applyFont="1" applyFill="1" applyBorder="1" applyAlignment="1">
      <alignment horizontal="right" vertical="center"/>
    </xf>
    <xf numFmtId="0" fontId="5" fillId="5" borderId="3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3" fontId="29" fillId="0" borderId="30" xfId="403" applyNumberFormat="1" applyFont="1" applyBorder="1" applyAlignment="1">
      <alignment vertical="center"/>
      <protection/>
    </xf>
    <xf numFmtId="3" fontId="29" fillId="5" borderId="18" xfId="409" applyNumberFormat="1" applyFont="1" applyFill="1" applyBorder="1" applyAlignment="1">
      <alignment horizontal="right" vertical="center" wrapText="1"/>
      <protection/>
    </xf>
    <xf numFmtId="3" fontId="17" fillId="0" borderId="0" xfId="409" applyNumberFormat="1" applyFont="1" applyFill="1">
      <alignment/>
      <protection/>
    </xf>
    <xf numFmtId="3" fontId="48" fillId="0" borderId="0" xfId="0" applyNumberFormat="1" applyFont="1" applyAlignment="1">
      <alignment vertical="center"/>
    </xf>
    <xf numFmtId="3" fontId="40" fillId="5" borderId="18" xfId="0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horizontal="right" vertical="center"/>
    </xf>
    <xf numFmtId="0" fontId="26" fillId="0" borderId="0" xfId="403" applyFont="1" applyAlignment="1">
      <alignment horizontal="center" vertical="center" wrapText="1"/>
      <protection/>
    </xf>
    <xf numFmtId="0" fontId="17" fillId="5" borderId="27" xfId="403" applyFont="1" applyFill="1" applyBorder="1" applyAlignment="1">
      <alignment vertical="center" wrapText="1"/>
      <protection/>
    </xf>
    <xf numFmtId="0" fontId="28" fillId="0" borderId="6" xfId="403" applyFont="1" applyFill="1" applyBorder="1" applyAlignment="1">
      <alignment horizontal="center" vertical="center" wrapText="1"/>
      <protection/>
    </xf>
    <xf numFmtId="180" fontId="27" fillId="0" borderId="8" xfId="216" applyNumberFormat="1" applyFont="1" applyFill="1" applyBorder="1" applyAlignment="1">
      <alignment horizontal="right" vertical="center" wrapText="1"/>
    </xf>
    <xf numFmtId="4" fontId="27" fillId="0" borderId="16" xfId="403" applyNumberFormat="1" applyFont="1" applyFill="1" applyBorder="1" applyAlignment="1">
      <alignment vertical="center"/>
      <protection/>
    </xf>
    <xf numFmtId="0" fontId="49" fillId="0" borderId="14" xfId="0" applyFont="1" applyBorder="1" applyAlignment="1">
      <alignment/>
    </xf>
    <xf numFmtId="0" fontId="46" fillId="8" borderId="14" xfId="0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0" fontId="6" fillId="2" borderId="68" xfId="0" applyFont="1" applyFill="1" applyBorder="1" applyAlignment="1">
      <alignment horizontal="center"/>
    </xf>
    <xf numFmtId="0" fontId="29" fillId="0" borderId="17" xfId="409" applyFont="1" applyBorder="1" applyAlignment="1">
      <alignment horizontal="center" vertical="center" wrapText="1"/>
      <protection/>
    </xf>
    <xf numFmtId="0" fontId="6" fillId="0" borderId="69" xfId="0" applyFont="1" applyFill="1" applyBorder="1" applyAlignment="1">
      <alignment horizontal="left" wrapText="1"/>
    </xf>
    <xf numFmtId="4" fontId="6" fillId="0" borderId="69" xfId="0" applyNumberFormat="1" applyFont="1" applyFill="1" applyBorder="1" applyAlignment="1">
      <alignment horizontal="right" wrapText="1"/>
    </xf>
    <xf numFmtId="0" fontId="6" fillId="0" borderId="69" xfId="0" applyFont="1" applyFill="1" applyBorder="1" applyAlignment="1">
      <alignment horizontal="right" wrapText="1"/>
    </xf>
    <xf numFmtId="14" fontId="6" fillId="0" borderId="69" xfId="0" applyNumberFormat="1" applyFont="1" applyFill="1" applyBorder="1" applyAlignment="1">
      <alignment horizontal="right" wrapText="1"/>
    </xf>
    <xf numFmtId="0" fontId="17" fillId="0" borderId="25" xfId="403" applyFont="1" applyFill="1" applyBorder="1" applyAlignment="1">
      <alignment horizontal="center" vertical="center" wrapText="1"/>
      <protection/>
    </xf>
    <xf numFmtId="0" fontId="17" fillId="5" borderId="39" xfId="408" applyFont="1" applyFill="1" applyBorder="1" applyAlignment="1">
      <alignment horizontal="center"/>
      <protection/>
    </xf>
    <xf numFmtId="3" fontId="29" fillId="0" borderId="14" xfId="409" applyNumberFormat="1" applyFont="1" applyFill="1" applyBorder="1" applyAlignment="1">
      <alignment horizontal="right" vertical="center" wrapText="1"/>
      <protection/>
    </xf>
    <xf numFmtId="4" fontId="12" fillId="0" borderId="0" xfId="0" applyNumberFormat="1" applyFont="1" applyFill="1" applyAlignment="1">
      <alignment horizontal="left" vertical="center" wrapText="1"/>
    </xf>
    <xf numFmtId="3" fontId="27" fillId="2" borderId="12" xfId="403" applyNumberFormat="1" applyFont="1" applyFill="1" applyBorder="1" applyAlignment="1">
      <alignment horizontal="right" vertical="center"/>
      <protection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0" fontId="17" fillId="0" borderId="34" xfId="403" applyFont="1" applyFill="1" applyBorder="1" applyAlignment="1">
      <alignment horizontal="center" vertical="center" wrapText="1"/>
      <protection/>
    </xf>
    <xf numFmtId="0" fontId="17" fillId="5" borderId="38" xfId="403" applyFont="1" applyFill="1" applyBorder="1" applyAlignment="1">
      <alignment horizontal="center"/>
      <protection/>
    </xf>
    <xf numFmtId="0" fontId="17" fillId="5" borderId="70" xfId="403" applyFont="1" applyFill="1" applyBorder="1" applyAlignment="1">
      <alignment horizontal="center" vertical="center" wrapText="1"/>
      <protection/>
    </xf>
    <xf numFmtId="0" fontId="29" fillId="0" borderId="10" xfId="403" applyFont="1" applyBorder="1" applyAlignment="1">
      <alignment horizontal="center" vertical="center" wrapText="1"/>
      <protection/>
    </xf>
    <xf numFmtId="0" fontId="7" fillId="7" borderId="35" xfId="0" applyFont="1" applyFill="1" applyBorder="1" applyAlignment="1">
      <alignment horizontal="center" vertical="center"/>
    </xf>
    <xf numFmtId="0" fontId="29" fillId="0" borderId="21" xfId="403" applyFont="1" applyBorder="1" applyAlignment="1">
      <alignment vertical="center" wrapText="1"/>
      <protection/>
    </xf>
    <xf numFmtId="3" fontId="29" fillId="5" borderId="12" xfId="403" applyNumberFormat="1" applyFont="1" applyFill="1" applyBorder="1" applyAlignment="1">
      <alignment horizontal="right" vertical="center" wrapText="1"/>
      <protection/>
    </xf>
    <xf numFmtId="0" fontId="29" fillId="0" borderId="11" xfId="403" applyFont="1" applyBorder="1" applyAlignment="1">
      <alignment vertical="center" wrapText="1"/>
      <protection/>
    </xf>
    <xf numFmtId="0" fontId="17" fillId="5" borderId="16" xfId="409" applyFont="1" applyFill="1" applyBorder="1" applyAlignment="1">
      <alignment horizontal="center" vertical="center" wrapText="1"/>
      <protection/>
    </xf>
    <xf numFmtId="4" fontId="13" fillId="2" borderId="14" xfId="0" applyNumberFormat="1" applyFont="1" applyFill="1" applyBorder="1" applyAlignment="1">
      <alignment horizontal="right" vertical="center"/>
    </xf>
    <xf numFmtId="4" fontId="38" fillId="0" borderId="4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/>
    </xf>
    <xf numFmtId="0" fontId="17" fillId="2" borderId="10" xfId="403" applyFont="1" applyFill="1" applyBorder="1" applyAlignment="1" quotePrefix="1">
      <alignment horizontal="center" vertical="center" wrapText="1"/>
      <protection/>
    </xf>
    <xf numFmtId="0" fontId="17" fillId="2" borderId="11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center" vertical="center"/>
    </xf>
    <xf numFmtId="0" fontId="17" fillId="2" borderId="11" xfId="403" applyFont="1" applyFill="1" applyBorder="1" applyAlignment="1">
      <alignment vertical="center" wrapText="1"/>
      <protection/>
    </xf>
    <xf numFmtId="3" fontId="17" fillId="2" borderId="11" xfId="403" applyNumberFormat="1" applyFont="1" applyFill="1" applyBorder="1" applyAlignment="1">
      <alignment vertical="center" wrapText="1"/>
      <protection/>
    </xf>
    <xf numFmtId="0" fontId="17" fillId="5" borderId="48" xfId="403" applyFont="1" applyFill="1" applyBorder="1" applyAlignment="1">
      <alignment horizontal="center" vertical="center" wrapText="1"/>
      <protection/>
    </xf>
    <xf numFmtId="0" fontId="29" fillId="0" borderId="10" xfId="403" applyFont="1" applyFill="1" applyBorder="1" applyAlignment="1">
      <alignment horizontal="center" vertical="center" wrapText="1"/>
      <protection/>
    </xf>
    <xf numFmtId="0" fontId="29" fillId="0" borderId="60" xfId="403" applyFont="1" applyBorder="1" applyAlignment="1">
      <alignment horizontal="center" vertical="center" wrapText="1"/>
      <protection/>
    </xf>
    <xf numFmtId="0" fontId="17" fillId="0" borderId="15" xfId="409" applyFont="1" applyFill="1" applyBorder="1" applyAlignment="1">
      <alignment vertical="center" wrapText="1"/>
      <protection/>
    </xf>
    <xf numFmtId="0" fontId="17" fillId="0" borderId="34" xfId="409" applyFont="1" applyFill="1" applyBorder="1" applyAlignment="1">
      <alignment horizontal="center" vertical="center" wrapText="1"/>
      <protection/>
    </xf>
    <xf numFmtId="0" fontId="24" fillId="0" borderId="0" xfId="403" applyFont="1" applyAlignment="1">
      <alignment vertical="center"/>
      <protection/>
    </xf>
    <xf numFmtId="0" fontId="26" fillId="0" borderId="0" xfId="403" applyFont="1" applyAlignment="1">
      <alignment horizontal="center" vertical="center" wrapText="1"/>
      <protection/>
    </xf>
    <xf numFmtId="0" fontId="24" fillId="0" borderId="0" xfId="403" applyFont="1" applyAlignment="1">
      <alignment horizontal="center" vertical="center" wrapText="1"/>
      <protection/>
    </xf>
    <xf numFmtId="0" fontId="27" fillId="0" borderId="0" xfId="408" applyFont="1" applyBorder="1" applyAlignment="1">
      <alignment horizontal="center"/>
      <protection/>
    </xf>
    <xf numFmtId="0" fontId="24" fillId="0" borderId="0" xfId="403" applyFont="1" applyFill="1" applyBorder="1" applyAlignment="1">
      <alignment horizontal="center" vertical="center"/>
      <protection/>
    </xf>
    <xf numFmtId="0" fontId="30" fillId="0" borderId="5" xfId="403" applyFont="1" applyBorder="1" applyAlignment="1">
      <alignment horizontal="center" vertical="center"/>
      <protection/>
    </xf>
    <xf numFmtId="0" fontId="30" fillId="0" borderId="71" xfId="403" applyFont="1" applyBorder="1" applyAlignment="1">
      <alignment horizontal="center" vertical="center"/>
      <protection/>
    </xf>
    <xf numFmtId="0" fontId="30" fillId="0" borderId="8" xfId="403" applyFont="1" applyBorder="1" applyAlignment="1">
      <alignment horizontal="center" vertical="center"/>
      <protection/>
    </xf>
    <xf numFmtId="0" fontId="30" fillId="0" borderId="5" xfId="403" applyFont="1" applyBorder="1" applyAlignment="1">
      <alignment horizontal="center"/>
      <protection/>
    </xf>
    <xf numFmtId="0" fontId="30" fillId="0" borderId="71" xfId="403" applyFont="1" applyBorder="1" applyAlignment="1">
      <alignment horizontal="center"/>
      <protection/>
    </xf>
    <xf numFmtId="0" fontId="30" fillId="0" borderId="8" xfId="403" applyFont="1" applyBorder="1" applyAlignment="1">
      <alignment horizontal="center"/>
      <protection/>
    </xf>
    <xf numFmtId="0" fontId="30" fillId="0" borderId="5" xfId="403" applyFont="1" applyBorder="1" applyAlignment="1">
      <alignment horizontal="left"/>
      <protection/>
    </xf>
    <xf numFmtId="0" fontId="30" fillId="0" borderId="71" xfId="403" applyFont="1" applyBorder="1" applyAlignment="1">
      <alignment horizontal="left"/>
      <protection/>
    </xf>
    <xf numFmtId="0" fontId="30" fillId="0" borderId="5" xfId="409" applyFont="1" applyBorder="1" applyAlignment="1">
      <alignment horizontal="center" vertical="center"/>
      <protection/>
    </xf>
    <xf numFmtId="0" fontId="30" fillId="0" borderId="71" xfId="409" applyFont="1" applyBorder="1" applyAlignment="1">
      <alignment horizontal="center" vertical="center"/>
      <protection/>
    </xf>
    <xf numFmtId="0" fontId="30" fillId="0" borderId="8" xfId="409" applyFont="1" applyBorder="1" applyAlignment="1">
      <alignment horizontal="center" vertical="center"/>
      <protection/>
    </xf>
    <xf numFmtId="0" fontId="29" fillId="6" borderId="5" xfId="403" applyFont="1" applyFill="1" applyBorder="1" applyAlignment="1">
      <alignment horizontal="center" vertical="center"/>
      <protection/>
    </xf>
    <xf numFmtId="0" fontId="29" fillId="6" borderId="71" xfId="403" applyFont="1" applyFill="1" applyBorder="1" applyAlignment="1">
      <alignment horizontal="center" vertical="center"/>
      <protection/>
    </xf>
    <xf numFmtId="0" fontId="29" fillId="6" borderId="8" xfId="403" applyFont="1" applyFill="1" applyBorder="1" applyAlignment="1">
      <alignment horizontal="center" vertical="center"/>
      <protection/>
    </xf>
    <xf numFmtId="0" fontId="17" fillId="5" borderId="20" xfId="403" applyFont="1" applyFill="1" applyBorder="1">
      <alignment/>
      <protection/>
    </xf>
    <xf numFmtId="0" fontId="17" fillId="2" borderId="10" xfId="403" applyFont="1" applyFill="1" applyBorder="1" applyAlignment="1">
      <alignment horizontal="center"/>
      <protection/>
    </xf>
    <xf numFmtId="0" fontId="17" fillId="2" borderId="70" xfId="0" applyFont="1" applyFill="1" applyBorder="1" applyAlignment="1">
      <alignment horizontal="left"/>
    </xf>
    <xf numFmtId="3" fontId="17" fillId="2" borderId="12" xfId="403" applyNumberFormat="1" applyFont="1" applyFill="1" applyBorder="1" applyAlignment="1">
      <alignment horizontal="right"/>
      <protection/>
    </xf>
    <xf numFmtId="3" fontId="40" fillId="0" borderId="12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3" fontId="5" fillId="2" borderId="61" xfId="0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center" vertical="center"/>
    </xf>
    <xf numFmtId="0" fontId="41" fillId="0" borderId="72" xfId="0" applyNumberFormat="1" applyFont="1" applyFill="1" applyBorder="1" applyAlignment="1">
      <alignment horizontal="left" vertical="center" wrapText="1"/>
    </xf>
  </cellXfs>
  <cellStyles count="424">
    <cellStyle name="Normal" xfId="0"/>
    <cellStyle name="Comma [0]_CCOCPX" xfId="15"/>
    <cellStyle name="Comma [0]_E&amp;ONW1" xfId="16"/>
    <cellStyle name="Comma [0]_E&amp;ONW2" xfId="17"/>
    <cellStyle name="Comma [0]_E&amp;OOCPX" xfId="18"/>
    <cellStyle name="Comma [0]_F&amp;COCPX" xfId="19"/>
    <cellStyle name="Comma [0]_Inputs" xfId="20"/>
    <cellStyle name="Comma [0]_ITOCPX" xfId="21"/>
    <cellStyle name="Comma [0]_laroux" xfId="22"/>
    <cellStyle name="Comma [0]_laroux_1" xfId="23"/>
    <cellStyle name="Comma [0]_laroux_2" xfId="24"/>
    <cellStyle name="Comma [0]_laroux_2_pldt" xfId="25"/>
    <cellStyle name="Comma [0]_laroux_MATERAL2" xfId="26"/>
    <cellStyle name="Comma [0]_laroux_MATERAL2_pldt" xfId="27"/>
    <cellStyle name="Comma [0]_laroux_mud plant bolted" xfId="28"/>
    <cellStyle name="Comma [0]_MATERAL2" xfId="29"/>
    <cellStyle name="Comma [0]_MKGOCPX" xfId="30"/>
    <cellStyle name="Comma [0]_MOBCPX" xfId="31"/>
    <cellStyle name="Comma [0]_mud plant bolted" xfId="32"/>
    <cellStyle name="Comma [0]_mud plant bolted_pldt" xfId="33"/>
    <cellStyle name="Comma [0]_OSMOCPX" xfId="34"/>
    <cellStyle name="Comma [0]_PGMKOCPX" xfId="35"/>
    <cellStyle name="Comma [0]_PGNW1" xfId="36"/>
    <cellStyle name="Comma [0]_PGNW2" xfId="37"/>
    <cellStyle name="Comma [0]_PGNWOCPX" xfId="38"/>
    <cellStyle name="Comma [0]_pldt" xfId="39"/>
    <cellStyle name="Comma [0]_pldt_1" xfId="40"/>
    <cellStyle name="Comma [0]_pldt_1_pldt" xfId="41"/>
    <cellStyle name="Comma [0]_pldt_2" xfId="42"/>
    <cellStyle name="Comma [0]_pldt_pldt" xfId="43"/>
    <cellStyle name="Comma [0]_SATOCPX" xfId="44"/>
    <cellStyle name="Comma [0]_TMSNW1" xfId="45"/>
    <cellStyle name="Comma [0]_TMSNW2" xfId="46"/>
    <cellStyle name="Comma [0]_TMSOCPX" xfId="47"/>
    <cellStyle name="Comma_Capex" xfId="48"/>
    <cellStyle name="Comma_Capex per line" xfId="49"/>
    <cellStyle name="Comma_Capex%rev" xfId="50"/>
    <cellStyle name="Comma_C-Cap intensity" xfId="51"/>
    <cellStyle name="Comma_C-Cap intensity_pldt" xfId="52"/>
    <cellStyle name="Comma_C-Capex%rev" xfId="53"/>
    <cellStyle name="Comma_C-Capex%rev_pldt" xfId="54"/>
    <cellStyle name="Comma_CCOCPX" xfId="55"/>
    <cellStyle name="Comma_Cht-Capex per line" xfId="56"/>
    <cellStyle name="Comma_Cht-Capex per line_pldt" xfId="57"/>
    <cellStyle name="Comma_Cht-Cum Real Opr Cf" xfId="58"/>
    <cellStyle name="Comma_Cht-Cum Real Opr Cf_pldt" xfId="59"/>
    <cellStyle name="Comma_Cht-Dep%Rev" xfId="60"/>
    <cellStyle name="Comma_Cht-Dep%Rev_pldt" xfId="61"/>
    <cellStyle name="Comma_Cht-Real Opr Cf" xfId="62"/>
    <cellStyle name="Comma_Cht-Real Opr Cf_pldt" xfId="63"/>
    <cellStyle name="Comma_Cht-Rev dist" xfId="64"/>
    <cellStyle name="Comma_Cht-Rev dist_pldt" xfId="65"/>
    <cellStyle name="Comma_Cht-Rev p line" xfId="66"/>
    <cellStyle name="Comma_Cht-Rev p line_pldt" xfId="67"/>
    <cellStyle name="Comma_Cht-Rev per Staff" xfId="68"/>
    <cellStyle name="Comma_Cht-Rev per Staff_pldt" xfId="69"/>
    <cellStyle name="Comma_Cht-Staff cost%revenue" xfId="70"/>
    <cellStyle name="Comma_Cht-Staff cost%revenue_pldt" xfId="71"/>
    <cellStyle name="Comma_C-Line per Staff" xfId="72"/>
    <cellStyle name="Comma_C-Line per Staff_pldt" xfId="73"/>
    <cellStyle name="Comma_C-lines distribution" xfId="74"/>
    <cellStyle name="Comma_C-lines distribution_pldt" xfId="75"/>
    <cellStyle name="Comma_C-Orig PLDT lines" xfId="76"/>
    <cellStyle name="Comma_C-Orig PLDT lines_pldt" xfId="77"/>
    <cellStyle name="Comma_C-Ret on Rev" xfId="78"/>
    <cellStyle name="Comma_C-Ret on Rev_pldt" xfId="79"/>
    <cellStyle name="Comma_C-ROACE" xfId="80"/>
    <cellStyle name="Comma_C-ROACE_pldt" xfId="81"/>
    <cellStyle name="Comma_CROCF" xfId="82"/>
    <cellStyle name="Comma_Cum Real Opr Cf" xfId="83"/>
    <cellStyle name="Comma_Demand Fcst." xfId="84"/>
    <cellStyle name="Comma_Dep%Rev" xfId="85"/>
    <cellStyle name="Comma_E&amp;ONW1" xfId="86"/>
    <cellStyle name="Comma_E&amp;ONW2" xfId="87"/>
    <cellStyle name="Comma_E&amp;OOCPX" xfId="88"/>
    <cellStyle name="Comma_EPS" xfId="89"/>
    <cellStyle name="Comma_F&amp;COCPX" xfId="90"/>
    <cellStyle name="Comma_Inputs" xfId="91"/>
    <cellStyle name="Comma_IRR" xfId="92"/>
    <cellStyle name="Comma_ITOCPX" xfId="93"/>
    <cellStyle name="Comma_laroux" xfId="94"/>
    <cellStyle name="Comma_laroux_1" xfId="95"/>
    <cellStyle name="Comma_laroux_1_pldt" xfId="96"/>
    <cellStyle name="Comma_laroux_2" xfId="97"/>
    <cellStyle name="Comma_laroux_2_pldt" xfId="98"/>
    <cellStyle name="Comma_laroux_pldt" xfId="99"/>
    <cellStyle name="Comma_Line Inst." xfId="100"/>
    <cellStyle name="Comma_MATERAL2" xfId="101"/>
    <cellStyle name="Comma_MKGOCPX" xfId="102"/>
    <cellStyle name="Comma_Mkt Shr" xfId="103"/>
    <cellStyle name="Comma_MOBCPX" xfId="104"/>
    <cellStyle name="Comma_mud plant bolted" xfId="105"/>
    <cellStyle name="Comma_NCR-C&amp;W Val" xfId="106"/>
    <cellStyle name="Comma_NCR-Cap intensity" xfId="107"/>
    <cellStyle name="Comma_NCR-Line per Staff" xfId="108"/>
    <cellStyle name="Comma_NCR-Rev dist" xfId="109"/>
    <cellStyle name="Comma_Op Cost Break" xfId="110"/>
    <cellStyle name="Comma_OSMOCPX" xfId="111"/>
    <cellStyle name="Comma_PGMKOCPX" xfId="112"/>
    <cellStyle name="Comma_PGNW1" xfId="113"/>
    <cellStyle name="Comma_PGNW2" xfId="114"/>
    <cellStyle name="Comma_PGNWOCPX" xfId="115"/>
    <cellStyle name="Comma_pldt" xfId="116"/>
    <cellStyle name="Comma_pldt_1" xfId="117"/>
    <cellStyle name="Comma_pldt_1_pldt" xfId="118"/>
    <cellStyle name="Comma_pldt_2" xfId="119"/>
    <cellStyle name="Comma_pldt_2_pldt" xfId="120"/>
    <cellStyle name="Comma_pldt_3" xfId="121"/>
    <cellStyle name="Comma_pldt_3_pldt" xfId="122"/>
    <cellStyle name="Comma_pldt_pldt" xfId="123"/>
    <cellStyle name="Comma_Real Opr Cf" xfId="124"/>
    <cellStyle name="Comma_Real Rev per Staff (1)" xfId="125"/>
    <cellStyle name="Comma_Real Rev per Staff (2)" xfId="126"/>
    <cellStyle name="Comma_Region 2-C&amp;W" xfId="127"/>
    <cellStyle name="Comma_Return on Rev" xfId="128"/>
    <cellStyle name="Comma_Rev p line" xfId="129"/>
    <cellStyle name="Comma_ROACE" xfId="130"/>
    <cellStyle name="Comma_ROCF (Tot)" xfId="131"/>
    <cellStyle name="Comma_SATOCPX" xfId="132"/>
    <cellStyle name="Comma_Staff cost%rev" xfId="133"/>
    <cellStyle name="Comma_TMSNW1" xfId="134"/>
    <cellStyle name="Comma_TMSNW2" xfId="135"/>
    <cellStyle name="Comma_TMSOCPX" xfId="136"/>
    <cellStyle name="Comma_Total-Rev dist." xfId="137"/>
    <cellStyle name="Currency [0]_CCOCPX" xfId="138"/>
    <cellStyle name="Currency [0]_E&amp;ONW1" xfId="139"/>
    <cellStyle name="Currency [0]_E&amp;ONW2" xfId="140"/>
    <cellStyle name="Currency [0]_E&amp;OOCPX" xfId="141"/>
    <cellStyle name="Currency [0]_F&amp;COCPX" xfId="142"/>
    <cellStyle name="Currency [0]_Inputs" xfId="143"/>
    <cellStyle name="Currency [0]_ITOCPX" xfId="144"/>
    <cellStyle name="Currency [0]_laroux" xfId="145"/>
    <cellStyle name="Currency [0]_laroux_1" xfId="146"/>
    <cellStyle name="Currency [0]_laroux_2" xfId="147"/>
    <cellStyle name="Currency [0]_laroux_MATERAL2" xfId="148"/>
    <cellStyle name="Currency [0]_laroux_mud plant bolted" xfId="149"/>
    <cellStyle name="Currency [0]_MATERAL2" xfId="150"/>
    <cellStyle name="Currency [0]_MKGOCPX" xfId="151"/>
    <cellStyle name="Currency [0]_MOBCPX" xfId="152"/>
    <cellStyle name="Currency [0]_mud plant bolted" xfId="153"/>
    <cellStyle name="Currency [0]_OSMOCPX" xfId="154"/>
    <cellStyle name="Currency [0]_PGMKOCPX" xfId="155"/>
    <cellStyle name="Currency [0]_PGNW1" xfId="156"/>
    <cellStyle name="Currency [0]_PGNW2" xfId="157"/>
    <cellStyle name="Currency [0]_PGNWOCPX" xfId="158"/>
    <cellStyle name="Currency [0]_pldt" xfId="159"/>
    <cellStyle name="Currency [0]_pldt_1" xfId="160"/>
    <cellStyle name="Currency [0]_pldt_1_pldt" xfId="161"/>
    <cellStyle name="Currency [0]_pldt_2" xfId="162"/>
    <cellStyle name="Currency [0]_pldt_2_pldt" xfId="163"/>
    <cellStyle name="Currency [0]_pldt_3" xfId="164"/>
    <cellStyle name="Currency [0]_pldt_pldt" xfId="165"/>
    <cellStyle name="Currency [0]_SATOCPX" xfId="166"/>
    <cellStyle name="Currency [0]_TMSNW1" xfId="167"/>
    <cellStyle name="Currency [0]_TMSNW2" xfId="168"/>
    <cellStyle name="Currency [0]_TMSOCPX" xfId="169"/>
    <cellStyle name="Currency_CCOCPX" xfId="170"/>
    <cellStyle name="Currency_E&amp;ONW1" xfId="171"/>
    <cellStyle name="Currency_E&amp;ONW2" xfId="172"/>
    <cellStyle name="Currency_E&amp;OOCPX" xfId="173"/>
    <cellStyle name="Currency_F&amp;COCPX" xfId="174"/>
    <cellStyle name="Currency_Inputs" xfId="175"/>
    <cellStyle name="Currency_ITOCPX" xfId="176"/>
    <cellStyle name="Currency_laroux" xfId="177"/>
    <cellStyle name="Currency_laroux_1" xfId="178"/>
    <cellStyle name="Currency_laroux_2" xfId="179"/>
    <cellStyle name="Currency_MATERAL2" xfId="180"/>
    <cellStyle name="Currency_MKGOCPX" xfId="181"/>
    <cellStyle name="Currency_MOBCPX" xfId="182"/>
    <cellStyle name="Currency_mud plant bolted" xfId="183"/>
    <cellStyle name="Currency_OSMOCPX" xfId="184"/>
    <cellStyle name="Currency_PGMKOCPX" xfId="185"/>
    <cellStyle name="Currency_PGNW1" xfId="186"/>
    <cellStyle name="Currency_PGNW2" xfId="187"/>
    <cellStyle name="Currency_PGNWOCPX" xfId="188"/>
    <cellStyle name="Currency_pldt" xfId="189"/>
    <cellStyle name="Currency_pldt_1" xfId="190"/>
    <cellStyle name="Currency_pldt_1_pldt" xfId="191"/>
    <cellStyle name="Currency_pldt_2" xfId="192"/>
    <cellStyle name="Currency_pldt_2_pldt" xfId="193"/>
    <cellStyle name="Currency_pldt_3" xfId="194"/>
    <cellStyle name="Currency_pldt_pldt" xfId="195"/>
    <cellStyle name="Currency_SATOCPX" xfId="196"/>
    <cellStyle name="Currency_TMSNW1" xfId="197"/>
    <cellStyle name="Currency_TMSNW2" xfId="198"/>
    <cellStyle name="Currency_TMSOCPX" xfId="199"/>
    <cellStyle name="Comma" xfId="200"/>
    <cellStyle name="Comma [0]" xfId="201"/>
    <cellStyle name="Dziesiętny [0]_01.2001" xfId="202"/>
    <cellStyle name="Dziesiętny [0]_17.10" xfId="203"/>
    <cellStyle name="Dziesiętny [0]_Arkusz1" xfId="204"/>
    <cellStyle name="Dziesiętny [0]_Arkusz2" xfId="205"/>
    <cellStyle name="Dziesiętny [0]_Arkusz3" xfId="206"/>
    <cellStyle name="Dziesiętny [0]_pl.fin.26a" xfId="207"/>
    <cellStyle name="Dziesiętny [0]_plan_finansowy_wrzesien" xfId="208"/>
    <cellStyle name="Dziesiętny [0]_sam." xfId="209"/>
    <cellStyle name="Dziesiętny [0]_Zeszyt1" xfId="210"/>
    <cellStyle name="Dziesiętny_01.2001" xfId="211"/>
    <cellStyle name="Dziesiętny_17.10" xfId="212"/>
    <cellStyle name="Dziesiętny_Arkusz1" xfId="213"/>
    <cellStyle name="Dziesiętny_Arkusz2" xfId="214"/>
    <cellStyle name="Dziesiętny_Arkusz3" xfId="215"/>
    <cellStyle name="Dziesiętny_pl.fin.26a" xfId="216"/>
    <cellStyle name="Dziesiętny_plan_finansowy_wrzesien" xfId="217"/>
    <cellStyle name="Dziesiętny_sam." xfId="218"/>
    <cellStyle name="Dziesiętny_Zeszyt1" xfId="219"/>
    <cellStyle name="Grey" xfId="220"/>
    <cellStyle name="Grey_pldt" xfId="221"/>
    <cellStyle name="Input [yellow]" xfId="222"/>
    <cellStyle name="Input [yellow]_pldt" xfId="223"/>
    <cellStyle name="Normal - Style1" xfId="224"/>
    <cellStyle name="Normal - Style1_pldt" xfId="225"/>
    <cellStyle name="Normal_2KW96" xfId="226"/>
    <cellStyle name="Normal_Capex" xfId="227"/>
    <cellStyle name="Normal_Capex per line" xfId="228"/>
    <cellStyle name="Normal_Capex per line_pldt" xfId="229"/>
    <cellStyle name="Normal_Capex%rev" xfId="230"/>
    <cellStyle name="Normal_Capex%rev_pldt" xfId="231"/>
    <cellStyle name="Normal_Capex_pldt" xfId="232"/>
    <cellStyle name="Normal_C-Cap intensity" xfId="233"/>
    <cellStyle name="Normal_C-Cap intensity_pldt" xfId="234"/>
    <cellStyle name="Normal_C-Capex%rev" xfId="235"/>
    <cellStyle name="Normal_C-Capex%rev_pldt" xfId="236"/>
    <cellStyle name="Normal_CCOCPX" xfId="237"/>
    <cellStyle name="Normal_CCOCPX_pldt" xfId="238"/>
    <cellStyle name="Normal_Cht-Capex per line" xfId="239"/>
    <cellStyle name="Normal_Cht-Capex per line_pldt" xfId="240"/>
    <cellStyle name="Normal_Cht-Cum Real Opr Cf" xfId="241"/>
    <cellStyle name="Normal_Cht-Cum Real Opr Cf_pldt" xfId="242"/>
    <cellStyle name="Normal_Cht-Dep%Rev" xfId="243"/>
    <cellStyle name="Normal_Cht-Dep%Rev_pldt" xfId="244"/>
    <cellStyle name="Normal_Cht-Real Opr Cf" xfId="245"/>
    <cellStyle name="Normal_Cht-Real Opr Cf_pldt" xfId="246"/>
    <cellStyle name="Normal_Cht-Rev dist" xfId="247"/>
    <cellStyle name="Normal_Cht-Rev dist_pldt" xfId="248"/>
    <cellStyle name="Normal_Cht-Rev p line" xfId="249"/>
    <cellStyle name="Normal_Cht-Rev p line_pldt" xfId="250"/>
    <cellStyle name="Normal_Cht-Rev per Staff" xfId="251"/>
    <cellStyle name="Normal_Cht-Rev per Staff_pldt" xfId="252"/>
    <cellStyle name="Normal_Cht-Staff cost%revenue" xfId="253"/>
    <cellStyle name="Normal_Cht-Staff cost%revenue_pldt" xfId="254"/>
    <cellStyle name="Normal_C-Line per Staff" xfId="255"/>
    <cellStyle name="Normal_C-Line per Staff_pldt" xfId="256"/>
    <cellStyle name="Normal_C-lines distribution" xfId="257"/>
    <cellStyle name="Normal_C-lines distribution_pldt" xfId="258"/>
    <cellStyle name="Normal_C-Orig PLDT lines" xfId="259"/>
    <cellStyle name="Normal_C-Orig PLDT lines_pldt" xfId="260"/>
    <cellStyle name="Normal_Co-wide Monthly" xfId="261"/>
    <cellStyle name="Normal_Co-wide Monthly_pldt" xfId="262"/>
    <cellStyle name="Normal_C-Ret on Rev" xfId="263"/>
    <cellStyle name="Normal_C-Ret on Rev_pldt" xfId="264"/>
    <cellStyle name="Normal_C-ROACE" xfId="265"/>
    <cellStyle name="Normal_C-ROACE_pldt" xfId="266"/>
    <cellStyle name="Normal_CROCF" xfId="267"/>
    <cellStyle name="Normal_CROCF_pldt" xfId="268"/>
    <cellStyle name="Normal_Cum Real Opr Cf" xfId="269"/>
    <cellStyle name="Normal_Cum Real Opr Cf_pldt" xfId="270"/>
    <cellStyle name="Normal_Demand Fcst." xfId="271"/>
    <cellStyle name="Normal_Demand Fcst._pldt" xfId="272"/>
    <cellStyle name="Normal_Dep%Rev" xfId="273"/>
    <cellStyle name="Normal_Dep%Rev_pldt" xfId="274"/>
    <cellStyle name="Normal_E&amp;ONW1" xfId="275"/>
    <cellStyle name="Normal_E&amp;ONW1_pldt" xfId="276"/>
    <cellStyle name="Normal_E&amp;ONW2" xfId="277"/>
    <cellStyle name="Normal_E&amp;ONW2_pldt" xfId="278"/>
    <cellStyle name="Normal_E&amp;OOCPX" xfId="279"/>
    <cellStyle name="Normal_E&amp;OOCPX_pldt" xfId="280"/>
    <cellStyle name="Normal_EPS" xfId="281"/>
    <cellStyle name="Normal_EPS_pldt" xfId="282"/>
    <cellStyle name="Normal_F&amp;COCPX" xfId="283"/>
    <cellStyle name="Normal_F&amp;COCPX_pldt" xfId="284"/>
    <cellStyle name="Normal_Inputs" xfId="285"/>
    <cellStyle name="Normal_Inputs_pldt" xfId="286"/>
    <cellStyle name="Normal_IRR" xfId="287"/>
    <cellStyle name="Normal_IRR_pldt" xfId="288"/>
    <cellStyle name="Normal_ITOCPX" xfId="289"/>
    <cellStyle name="Normal_ITOCPX_pldt" xfId="290"/>
    <cellStyle name="Normal_laroux" xfId="291"/>
    <cellStyle name="Normal_laroux_1" xfId="292"/>
    <cellStyle name="Normal_laroux_1_pldt" xfId="293"/>
    <cellStyle name="Normal_laroux_1_pldt_1" xfId="294"/>
    <cellStyle name="Normal_laroux_1_pldt_pldt" xfId="295"/>
    <cellStyle name="Normal_laroux_2" xfId="296"/>
    <cellStyle name="Normal_laroux_2_pldt" xfId="297"/>
    <cellStyle name="Normal_laroux_2_pldt_1" xfId="298"/>
    <cellStyle name="Normal_laroux_2_pldt_pldt" xfId="299"/>
    <cellStyle name="Normal_laroux_3" xfId="300"/>
    <cellStyle name="Normal_laroux_3_pldt" xfId="301"/>
    <cellStyle name="Normal_laroux_3_pldt_1" xfId="302"/>
    <cellStyle name="Normal_laroux_3_pldt_pldt" xfId="303"/>
    <cellStyle name="Normal_laroux_4" xfId="304"/>
    <cellStyle name="Normal_laroux_4_pldt" xfId="305"/>
    <cellStyle name="Normal_laroux_4_pldt_1" xfId="306"/>
    <cellStyle name="Normal_laroux_4_pldt_pldt" xfId="307"/>
    <cellStyle name="Normal_laroux_5" xfId="308"/>
    <cellStyle name="Normal_laroux_5_pldt" xfId="309"/>
    <cellStyle name="Normal_laroux_5_pldt_1" xfId="310"/>
    <cellStyle name="Normal_laroux_5_pldt_pldt" xfId="311"/>
    <cellStyle name="Normal_laroux_6" xfId="312"/>
    <cellStyle name="Normal_laroux_6_pldt" xfId="313"/>
    <cellStyle name="Normal_laroux_6_pldt_1" xfId="314"/>
    <cellStyle name="Normal_laroux_6_pldt_pldt" xfId="315"/>
    <cellStyle name="Normal_laroux_7" xfId="316"/>
    <cellStyle name="Normal_laroux_7_pldt" xfId="317"/>
    <cellStyle name="Normal_laroux_8" xfId="318"/>
    <cellStyle name="Normal_laroux_8_pldt" xfId="319"/>
    <cellStyle name="Normal_laroux_pldt" xfId="320"/>
    <cellStyle name="Normal_laroux_pldt_1" xfId="321"/>
    <cellStyle name="Normal_laroux_pldt_pldt" xfId="322"/>
    <cellStyle name="Normal_Line Inst." xfId="323"/>
    <cellStyle name="Normal_Line Inst._pldt" xfId="324"/>
    <cellStyle name="Normal_MATERAL2" xfId="325"/>
    <cellStyle name="Normal_MATERAL2_pldt" xfId="326"/>
    <cellStyle name="Normal_MKGOCPX" xfId="327"/>
    <cellStyle name="Normal_MKGOCPX_pldt" xfId="328"/>
    <cellStyle name="Normal_Mkt Shr" xfId="329"/>
    <cellStyle name="Normal_Mkt Shr_pldt" xfId="330"/>
    <cellStyle name="Normal_MOBCPX" xfId="331"/>
    <cellStyle name="Normal_MOBCPX_pldt" xfId="332"/>
    <cellStyle name="Normal_mud plant bolted" xfId="333"/>
    <cellStyle name="Normal_mud plant bolted_pldt" xfId="334"/>
    <cellStyle name="Normal_NCR-C&amp;W Val" xfId="335"/>
    <cellStyle name="Normal_NCR-C&amp;W Val_pldt" xfId="336"/>
    <cellStyle name="Normal_NCR-Cap intensity" xfId="337"/>
    <cellStyle name="Normal_NCR-Cap intensity_pldt" xfId="338"/>
    <cellStyle name="Normal_NCR-Line per Staff" xfId="339"/>
    <cellStyle name="Normal_NCR-Line per Staff_pldt" xfId="340"/>
    <cellStyle name="Normal_NCR-Rev dist" xfId="341"/>
    <cellStyle name="Normal_NCR-Rev dist_pldt" xfId="342"/>
    <cellStyle name="Normal_Op Cost Break" xfId="343"/>
    <cellStyle name="Normal_Op Cost Break_pldt" xfId="344"/>
    <cellStyle name="Normal_OSMOCPX" xfId="345"/>
    <cellStyle name="Normal_OSMOCPX_pldt" xfId="346"/>
    <cellStyle name="Normal_PGMKOCPX" xfId="347"/>
    <cellStyle name="Normal_PGMKOCPX_pldt" xfId="348"/>
    <cellStyle name="Normal_PGNW1" xfId="349"/>
    <cellStyle name="Normal_PGNW1_pldt" xfId="350"/>
    <cellStyle name="Normal_PGNW2" xfId="351"/>
    <cellStyle name="Normal_PGNW2_pldt" xfId="352"/>
    <cellStyle name="Normal_PGNWOCPX" xfId="353"/>
    <cellStyle name="Normal_PGNWOCPX_pldt" xfId="354"/>
    <cellStyle name="Normal_pldt" xfId="355"/>
    <cellStyle name="Normal_pldt_1" xfId="356"/>
    <cellStyle name="Normal_pldt_1_pldt" xfId="357"/>
    <cellStyle name="Normal_pldt_2" xfId="358"/>
    <cellStyle name="Normal_pldt_2_pldt" xfId="359"/>
    <cellStyle name="Normal_pldt_3" xfId="360"/>
    <cellStyle name="Normal_pldt_3_pldt" xfId="361"/>
    <cellStyle name="Normal_pldt_4" xfId="362"/>
    <cellStyle name="Normal_pldt_4_pldt" xfId="363"/>
    <cellStyle name="Normal_pldt_5" xfId="364"/>
    <cellStyle name="Normal_pldt_5_pldt" xfId="365"/>
    <cellStyle name="Normal_pldt_6" xfId="366"/>
    <cellStyle name="Normal_pldt_pldt" xfId="367"/>
    <cellStyle name="Normal_Real Opr Cf" xfId="368"/>
    <cellStyle name="Normal_Real Opr Cf_pldt" xfId="369"/>
    <cellStyle name="Normal_Real Rev per Staff (1)" xfId="370"/>
    <cellStyle name="Normal_Real Rev per Staff (1)_pldt" xfId="371"/>
    <cellStyle name="Normal_Real Rev per Staff (2)" xfId="372"/>
    <cellStyle name="Normal_Real Rev per Staff (2)_pldt" xfId="373"/>
    <cellStyle name="Normal_Region 2-C&amp;W" xfId="374"/>
    <cellStyle name="Normal_Region 2-C&amp;W_pldt" xfId="375"/>
    <cellStyle name="Normal_Return on Rev" xfId="376"/>
    <cellStyle name="Normal_Return on Rev_pldt" xfId="377"/>
    <cellStyle name="Normal_Rev p line" xfId="378"/>
    <cellStyle name="Normal_Rev p line_pldt" xfId="379"/>
    <cellStyle name="Normal_ROACE" xfId="380"/>
    <cellStyle name="Normal_ROACE_pldt" xfId="381"/>
    <cellStyle name="Normal_ROCF (Tot)" xfId="382"/>
    <cellStyle name="Normal_ROCF (Tot)_pldt" xfId="383"/>
    <cellStyle name="Normal_SATOCPX" xfId="384"/>
    <cellStyle name="Normal_SATOCPX_pldt" xfId="385"/>
    <cellStyle name="Normal_solInv_suppldata_qry" xfId="386"/>
    <cellStyle name="Normal_solInv_suppldata_qry_pldt" xfId="387"/>
    <cellStyle name="Normal_Staff cost%rev" xfId="388"/>
    <cellStyle name="Normal_Staff cost%rev_pldt" xfId="389"/>
    <cellStyle name="Normal_TMSNW1" xfId="390"/>
    <cellStyle name="Normal_TMSNW1_pldt" xfId="391"/>
    <cellStyle name="Normal_TMSNW2" xfId="392"/>
    <cellStyle name="Normal_TMSNW2_pldt" xfId="393"/>
    <cellStyle name="Normal_TMSOCPX" xfId="394"/>
    <cellStyle name="Normal_TMSOCPX_pldt" xfId="395"/>
    <cellStyle name="Normal_Total-Rev dist." xfId="396"/>
    <cellStyle name="Normal_Total-Rev dist._pldt" xfId="397"/>
    <cellStyle name="Normalny_01.2001" xfId="398"/>
    <cellStyle name="Normalny_17.10" xfId="399"/>
    <cellStyle name="Normalny_Arkusz1" xfId="400"/>
    <cellStyle name="Normalny_Arkusz2" xfId="401"/>
    <cellStyle name="Normalny_Arkusz3" xfId="402"/>
    <cellStyle name="Normalny_pl.fin.26a" xfId="403"/>
    <cellStyle name="Normalny_plan_finansowy_wrzesien" xfId="404"/>
    <cellStyle name="Normalny_pldt" xfId="405"/>
    <cellStyle name="Normalny_pldt_1" xfId="406"/>
    <cellStyle name="Normalny_pldt_2" xfId="407"/>
    <cellStyle name="Normalny_sam." xfId="408"/>
    <cellStyle name="Normalny_Zeszyt1" xfId="409"/>
    <cellStyle name="Option" xfId="410"/>
    <cellStyle name="Option_01.2001" xfId="411"/>
    <cellStyle name="Option_pl.fin.26a" xfId="412"/>
    <cellStyle name="Option_Zeszyt1" xfId="413"/>
    <cellStyle name="Percent [2]" xfId="414"/>
    <cellStyle name="Percent" xfId="415"/>
    <cellStyle name="Currency" xfId="416"/>
    <cellStyle name="Currency [0]" xfId="417"/>
    <cellStyle name="Walutowy [0]_01.2001" xfId="418"/>
    <cellStyle name="Walutowy [0]_17.10" xfId="419"/>
    <cellStyle name="Walutowy [0]_Arkusz1" xfId="420"/>
    <cellStyle name="Walutowy [0]_Arkusz2" xfId="421"/>
    <cellStyle name="Walutowy [0]_Arkusz3" xfId="422"/>
    <cellStyle name="Walutowy [0]_pl.fin.26a" xfId="423"/>
    <cellStyle name="Walutowy [0]_plan_finansowy_wrzesien" xfId="424"/>
    <cellStyle name="Walutowy [0]_pldt" xfId="425"/>
    <cellStyle name="Walutowy [0]_sam." xfId="426"/>
    <cellStyle name="Walutowy [0]_Zeszyt1" xfId="427"/>
    <cellStyle name="Walutowy_01.2001" xfId="428"/>
    <cellStyle name="Walutowy_17.10" xfId="429"/>
    <cellStyle name="Walutowy_Arkusz1" xfId="430"/>
    <cellStyle name="Walutowy_Arkusz2" xfId="431"/>
    <cellStyle name="Walutowy_Arkusz3" xfId="432"/>
    <cellStyle name="Walutowy_pl.fin.26a" xfId="433"/>
    <cellStyle name="Walutowy_plan_finansowy_wrzesien" xfId="434"/>
    <cellStyle name="Walutowy_pldt" xfId="435"/>
    <cellStyle name="Walutowy_sam." xfId="436"/>
    <cellStyle name="Walutowy_Zeszyt1" xfId="4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\Moje%20dokumenty\plan%20fin.%20UMP\2001\plan_fin.%2001.2001cz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"/>
      <sheetName val="ogółem"/>
      <sheetName val="gm.własne"/>
      <sheetName val="gm.zlec."/>
      <sheetName val="pow.własne"/>
      <sheetName val="pow.zlec."/>
      <sheetName val="inwestycje (2)"/>
      <sheetName val="inwestycje"/>
      <sheetName val="samorządy"/>
      <sheetName val="Zarząd"/>
      <sheetName val="prezydent"/>
      <sheetName val="skarbnik"/>
      <sheetName val="sekretarz"/>
      <sheetName val="Frankiewicz"/>
      <sheetName val="Grzybowski"/>
      <sheetName val="Kayser"/>
      <sheetName val="Klepka"/>
      <sheetName val="Parysek"/>
      <sheetName val="Smulski"/>
    </sheetNames>
    <sheetDataSet>
      <sheetData sheetId="7">
        <row r="1">
          <cell r="A1" t="str">
            <v>Inwestycje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0"/>
  <sheetViews>
    <sheetView workbookViewId="0" topLeftCell="A1">
      <selection activeCell="D19" sqref="D19"/>
    </sheetView>
  </sheetViews>
  <sheetFormatPr defaultColWidth="9.140625" defaultRowHeight="12.75"/>
  <cols>
    <col min="1" max="2" width="7.00390625" style="0" customWidth="1"/>
    <col min="3" max="3" width="44.28125" style="0" bestFit="1" customWidth="1"/>
    <col min="4" max="4" width="14.7109375" style="0" customWidth="1"/>
    <col min="5" max="5" width="11.57421875" style="0" bestFit="1" customWidth="1"/>
    <col min="6" max="7" width="11.57421875" style="0" customWidth="1"/>
    <col min="8" max="8" width="10.8515625" style="0" bestFit="1" customWidth="1"/>
  </cols>
  <sheetData>
    <row r="2" ht="13.5" thickBot="1"/>
    <row r="3" spans="3:5" ht="15" thickBot="1">
      <c r="C3" s="141"/>
      <c r="D3" s="142" t="s">
        <v>139</v>
      </c>
      <c r="E3" s="14"/>
    </row>
    <row r="4" spans="3:4" ht="4.5" customHeight="1">
      <c r="C4" s="143"/>
      <c r="D4" s="144"/>
    </row>
    <row r="5" spans="3:4" ht="12.75">
      <c r="C5" s="533" t="s">
        <v>119</v>
      </c>
      <c r="D5" s="535">
        <f>'gmina własne'!E3</f>
        <v>631909411.04</v>
      </c>
    </row>
    <row r="6" spans="3:4" ht="12.75">
      <c r="C6" s="533" t="s">
        <v>124</v>
      </c>
      <c r="D6" s="535">
        <f>'powiat własny'!E3</f>
        <v>39935429</v>
      </c>
    </row>
    <row r="7" spans="3:4" ht="12.75">
      <c r="C7" s="533" t="s">
        <v>265</v>
      </c>
      <c r="D7" s="535">
        <f>'gmina zlecone'!E3</f>
        <v>3911560</v>
      </c>
    </row>
    <row r="8" spans="3:4" ht="12.75">
      <c r="C8" s="533" t="s">
        <v>184</v>
      </c>
      <c r="D8" s="535">
        <f>'powiat zlecone'!E3</f>
        <v>1661109.69</v>
      </c>
    </row>
    <row r="9" spans="3:4" ht="12.75">
      <c r="C9" s="534" t="str">
        <f>'[1]inwestycje'!A1</f>
        <v>Inwestycje</v>
      </c>
      <c r="D9" s="297">
        <f>inwestycje!E3</f>
        <v>135754467</v>
      </c>
    </row>
    <row r="10" spans="3:4" ht="13.5" thickBot="1">
      <c r="C10" s="534" t="s">
        <v>207</v>
      </c>
      <c r="D10" s="298">
        <f>samorządy!E4</f>
        <v>3512947</v>
      </c>
    </row>
    <row r="11" spans="3:4" ht="13.5" thickBot="1">
      <c r="C11" s="145" t="s">
        <v>208</v>
      </c>
      <c r="D11" s="146">
        <f>SUM(D5:D10)</f>
        <v>816684923.73</v>
      </c>
    </row>
    <row r="12" ht="13.5" thickBot="1">
      <c r="D12" s="14"/>
    </row>
    <row r="13" spans="2:8" ht="14.25">
      <c r="B13" s="152"/>
      <c r="C13" s="147" t="s">
        <v>209</v>
      </c>
      <c r="D13" s="536">
        <f>'gmina własne'!E3</f>
        <v>631909411.04</v>
      </c>
      <c r="E13" s="14">
        <f>D5-D13</f>
        <v>0</v>
      </c>
      <c r="F13" s="160"/>
      <c r="G13" s="160"/>
      <c r="H13" s="159"/>
    </row>
    <row r="14" spans="2:8" ht="14.25">
      <c r="B14" s="152"/>
      <c r="C14" s="147" t="s">
        <v>210</v>
      </c>
      <c r="D14" s="535">
        <f>'powiat własny'!E3</f>
        <v>39935429</v>
      </c>
      <c r="E14" s="14">
        <f>D6-D14</f>
        <v>0</v>
      </c>
      <c r="F14" s="160"/>
      <c r="G14" s="160"/>
      <c r="H14" s="159"/>
    </row>
    <row r="15" spans="2:8" ht="14.25">
      <c r="B15" s="152"/>
      <c r="C15" s="147" t="s">
        <v>211</v>
      </c>
      <c r="D15" s="535">
        <f>'gmina zlecone'!E3</f>
        <v>3911560</v>
      </c>
      <c r="E15" s="14">
        <f>D7-D15</f>
        <v>0</v>
      </c>
      <c r="F15" s="160"/>
      <c r="G15" s="160"/>
      <c r="H15" s="159"/>
    </row>
    <row r="16" spans="2:8" ht="15" thickBot="1">
      <c r="B16" s="152"/>
      <c r="C16" s="147" t="s">
        <v>212</v>
      </c>
      <c r="D16" s="537">
        <f>'powiat zlecone'!E3</f>
        <v>1661109.69</v>
      </c>
      <c r="E16" s="14">
        <f>D8-D16</f>
        <v>0</v>
      </c>
      <c r="F16" s="160"/>
      <c r="G16" s="160"/>
      <c r="H16" s="159"/>
    </row>
    <row r="17" spans="2:8" ht="15.75" thickBot="1">
      <c r="B17" s="153"/>
      <c r="C17" s="148" t="s">
        <v>213</v>
      </c>
      <c r="D17" s="149">
        <f>SUM(D13:D16)</f>
        <v>677417509.73</v>
      </c>
      <c r="E17" s="14"/>
      <c r="H17" s="14"/>
    </row>
    <row r="18" ht="12.75">
      <c r="B18" s="153"/>
    </row>
    <row r="19" spans="2:5" ht="12.75">
      <c r="B19" s="153"/>
      <c r="C19" s="563" t="s">
        <v>217</v>
      </c>
      <c r="D19" s="14">
        <f>ogółem!E4</f>
        <v>677417509.73</v>
      </c>
      <c r="E19" t="b">
        <f>D17=D19</f>
        <v>1</v>
      </c>
    </row>
    <row r="20" spans="2:4" ht="12.75">
      <c r="B20" s="153"/>
      <c r="C20" s="14"/>
      <c r="D20" s="14"/>
    </row>
    <row r="21" ht="12.75">
      <c r="B21" s="154"/>
    </row>
    <row r="22" spans="2:4" ht="12.75">
      <c r="B22" s="154"/>
      <c r="D22" s="14"/>
    </row>
    <row r="23" ht="12.75">
      <c r="B23" s="154"/>
    </row>
    <row r="24" ht="12.75">
      <c r="B24" s="154"/>
    </row>
    <row r="25" ht="12.75">
      <c r="B25" s="153"/>
    </row>
    <row r="26" ht="12.75">
      <c r="B26" s="153"/>
    </row>
    <row r="27" ht="12.75">
      <c r="B27" s="153"/>
    </row>
    <row r="28" ht="12.75">
      <c r="B28" s="153"/>
    </row>
    <row r="29" ht="12.75">
      <c r="B29" s="153"/>
    </row>
    <row r="30" ht="12.75">
      <c r="B30" s="1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SheetLayoutView="100" workbookViewId="0" topLeftCell="A57">
      <selection activeCell="A2" sqref="A2"/>
    </sheetView>
  </sheetViews>
  <sheetFormatPr defaultColWidth="9.140625" defaultRowHeight="12.75"/>
  <cols>
    <col min="1" max="1" width="5.421875" style="258" customWidth="1"/>
    <col min="2" max="2" width="6.140625" style="258" customWidth="1"/>
    <col min="3" max="3" width="5.140625" style="258" customWidth="1"/>
    <col min="4" max="4" width="52.00390625" style="258" customWidth="1"/>
    <col min="5" max="5" width="15.140625" style="17" customWidth="1"/>
    <col min="6" max="6" width="9.140625" style="258" customWidth="1"/>
    <col min="7" max="7" width="9.7109375" style="258" customWidth="1"/>
    <col min="8" max="16384" width="9.140625" style="258" customWidth="1"/>
  </cols>
  <sheetData>
    <row r="1" spans="1:5" ht="13.5" thickBot="1">
      <c r="A1" s="166"/>
      <c r="B1" s="166"/>
      <c r="C1" s="166"/>
      <c r="D1" s="166"/>
      <c r="E1" s="166"/>
    </row>
    <row r="2" spans="1:5" ht="15" thickBot="1">
      <c r="A2" s="327"/>
      <c r="C2" s="328"/>
      <c r="E2" s="21">
        <f>E5+E32+E46+E69+E79+E89+E93+E99+E103+E28</f>
        <v>28914597</v>
      </c>
    </row>
    <row r="3" spans="1:3" ht="13.5" thickBot="1">
      <c r="A3" s="17"/>
      <c r="C3" s="328"/>
    </row>
    <row r="4" spans="1:5" s="61" customFormat="1" ht="23.25" thickBot="1">
      <c r="A4" s="23" t="s">
        <v>115</v>
      </c>
      <c r="B4" s="24" t="s">
        <v>116</v>
      </c>
      <c r="C4" s="24" t="s">
        <v>117</v>
      </c>
      <c r="D4" s="25" t="s">
        <v>118</v>
      </c>
      <c r="E4" s="329" t="s">
        <v>124</v>
      </c>
    </row>
    <row r="5" spans="1:5" s="61" customFormat="1" ht="13.5" thickBot="1">
      <c r="A5" s="579" t="s">
        <v>262</v>
      </c>
      <c r="B5" s="580"/>
      <c r="C5" s="580"/>
      <c r="D5" s="581"/>
      <c r="E5" s="531">
        <f>E6+E15</f>
        <v>69000</v>
      </c>
    </row>
    <row r="6" spans="1:5" s="17" customFormat="1" ht="12.75">
      <c r="A6" s="29">
        <v>801</v>
      </c>
      <c r="B6" s="30"/>
      <c r="C6" s="30"/>
      <c r="D6" s="31" t="s">
        <v>59</v>
      </c>
      <c r="E6" s="32">
        <f>E7</f>
        <v>69000</v>
      </c>
    </row>
    <row r="7" spans="1:5" s="17" customFormat="1" ht="12.75">
      <c r="A7" s="65"/>
      <c r="B7" s="81">
        <v>80132</v>
      </c>
      <c r="C7" s="81"/>
      <c r="D7" s="331" t="s">
        <v>67</v>
      </c>
      <c r="E7" s="82">
        <f>E8</f>
        <v>69000</v>
      </c>
    </row>
    <row r="8" spans="1:7" s="17" customFormat="1" ht="13.5" thickBot="1">
      <c r="A8" s="65"/>
      <c r="B8" s="529"/>
      <c r="C8" s="67">
        <v>4810</v>
      </c>
      <c r="D8" s="90" t="s">
        <v>57</v>
      </c>
      <c r="E8" s="39">
        <v>69000</v>
      </c>
      <c r="G8" s="105"/>
    </row>
    <row r="9" spans="1:5" s="17" customFormat="1" ht="12.75" hidden="1">
      <c r="A9" s="65"/>
      <c r="B9" s="34">
        <v>80133</v>
      </c>
      <c r="C9" s="81"/>
      <c r="D9" s="331" t="s">
        <v>68</v>
      </c>
      <c r="E9" s="82">
        <f>SUM(E10:E10)</f>
        <v>0</v>
      </c>
    </row>
    <row r="10" spans="1:7" s="17" customFormat="1" ht="12.75" hidden="1">
      <c r="A10" s="65"/>
      <c r="B10" s="529"/>
      <c r="C10" s="67">
        <v>4810</v>
      </c>
      <c r="D10" s="90" t="s">
        <v>57</v>
      </c>
      <c r="E10" s="39">
        <v>0</v>
      </c>
      <c r="G10" s="105"/>
    </row>
    <row r="11" spans="1:5" s="17" customFormat="1" ht="12.75" hidden="1">
      <c r="A11" s="65"/>
      <c r="B11" s="81">
        <v>80134</v>
      </c>
      <c r="C11" s="81"/>
      <c r="D11" s="331" t="s">
        <v>69</v>
      </c>
      <c r="E11" s="82">
        <f>E12</f>
        <v>0</v>
      </c>
    </row>
    <row r="12" spans="1:7" s="17" customFormat="1" ht="12.75" hidden="1">
      <c r="A12" s="65"/>
      <c r="B12" s="529"/>
      <c r="C12" s="67">
        <v>4810</v>
      </c>
      <c r="D12" s="90" t="s">
        <v>57</v>
      </c>
      <c r="E12" s="39">
        <v>0</v>
      </c>
      <c r="G12" s="105"/>
    </row>
    <row r="13" spans="1:5" s="17" customFormat="1" ht="12.75" hidden="1">
      <c r="A13" s="65"/>
      <c r="B13" s="81">
        <v>80140</v>
      </c>
      <c r="C13" s="81"/>
      <c r="D13" s="331" t="s">
        <v>251</v>
      </c>
      <c r="E13" s="82">
        <f>E14</f>
        <v>0</v>
      </c>
    </row>
    <row r="14" spans="1:7" s="17" customFormat="1" ht="13.5" hidden="1" thickBot="1">
      <c r="A14" s="65"/>
      <c r="B14" s="529"/>
      <c r="C14" s="67">
        <v>4810</v>
      </c>
      <c r="D14" s="90" t="s">
        <v>57</v>
      </c>
      <c r="E14" s="39">
        <v>0</v>
      </c>
      <c r="G14" s="105"/>
    </row>
    <row r="15" spans="1:5" s="17" customFormat="1" ht="12.75" hidden="1">
      <c r="A15" s="29">
        <v>854</v>
      </c>
      <c r="B15" s="30"/>
      <c r="C15" s="30"/>
      <c r="D15" s="31" t="s">
        <v>85</v>
      </c>
      <c r="E15" s="32">
        <f>E16+E18+E20+E22+E24+E26</f>
        <v>0</v>
      </c>
    </row>
    <row r="16" spans="1:5" s="17" customFormat="1" ht="12.75" hidden="1">
      <c r="A16" s="65"/>
      <c r="B16" s="81">
        <v>85401</v>
      </c>
      <c r="C16" s="81"/>
      <c r="D16" s="331" t="s">
        <v>86</v>
      </c>
      <c r="E16" s="82">
        <f>SUM(E17:E17)</f>
        <v>0</v>
      </c>
    </row>
    <row r="17" spans="1:7" s="17" customFormat="1" ht="12.75" hidden="1">
      <c r="A17" s="65"/>
      <c r="B17" s="529"/>
      <c r="C17" s="67">
        <v>4810</v>
      </c>
      <c r="D17" s="90" t="s">
        <v>57</v>
      </c>
      <c r="E17" s="39">
        <v>0</v>
      </c>
      <c r="G17" s="105"/>
    </row>
    <row r="18" spans="1:5" s="17" customFormat="1" ht="12.75" hidden="1">
      <c r="A18" s="65"/>
      <c r="B18" s="81">
        <v>85403</v>
      </c>
      <c r="C18" s="81"/>
      <c r="D18" s="331" t="s">
        <v>87</v>
      </c>
      <c r="E18" s="82">
        <f>SUM(E19:E19)</f>
        <v>0</v>
      </c>
    </row>
    <row r="19" spans="1:7" s="17" customFormat="1" ht="12.75" hidden="1">
      <c r="A19" s="65"/>
      <c r="B19" s="529"/>
      <c r="C19" s="67">
        <v>4810</v>
      </c>
      <c r="D19" s="90" t="s">
        <v>57</v>
      </c>
      <c r="E19" s="39">
        <v>0</v>
      </c>
      <c r="G19" s="105" t="e">
        <f>#REF!+#REF!</f>
        <v>#REF!</v>
      </c>
    </row>
    <row r="20" spans="1:5" s="17" customFormat="1" ht="12.75" hidden="1">
      <c r="A20" s="65"/>
      <c r="B20" s="81">
        <v>85406</v>
      </c>
      <c r="C20" s="81"/>
      <c r="D20" s="331" t="s">
        <v>252</v>
      </c>
      <c r="E20" s="82">
        <f>SUM(E21:E21)</f>
        <v>0</v>
      </c>
    </row>
    <row r="21" spans="1:7" s="17" customFormat="1" ht="12.75" hidden="1">
      <c r="A21" s="65"/>
      <c r="B21" s="529"/>
      <c r="C21" s="67">
        <v>4810</v>
      </c>
      <c r="D21" s="90" t="s">
        <v>57</v>
      </c>
      <c r="E21" s="39">
        <v>0</v>
      </c>
      <c r="G21" s="105" t="e">
        <f>#REF!+#REF!</f>
        <v>#REF!</v>
      </c>
    </row>
    <row r="22" spans="1:5" s="17" customFormat="1" ht="12.75" hidden="1">
      <c r="A22" s="65"/>
      <c r="B22" s="81">
        <v>85407</v>
      </c>
      <c r="C22" s="81"/>
      <c r="D22" s="331" t="s">
        <v>90</v>
      </c>
      <c r="E22" s="82">
        <f>SUM(E23:E23)</f>
        <v>0</v>
      </c>
    </row>
    <row r="23" spans="1:7" s="17" customFormat="1" ht="12.75" hidden="1">
      <c r="A23" s="65"/>
      <c r="B23" s="529"/>
      <c r="C23" s="67">
        <v>4810</v>
      </c>
      <c r="D23" s="90" t="s">
        <v>57</v>
      </c>
      <c r="E23" s="39">
        <v>0</v>
      </c>
      <c r="G23" s="105"/>
    </row>
    <row r="24" spans="1:5" s="17" customFormat="1" ht="12.75" hidden="1">
      <c r="A24" s="65"/>
      <c r="B24" s="81">
        <v>85410</v>
      </c>
      <c r="C24" s="81"/>
      <c r="D24" s="331" t="s">
        <v>91</v>
      </c>
      <c r="E24" s="82">
        <f>SUM(E25:E25)</f>
        <v>0</v>
      </c>
    </row>
    <row r="25" spans="1:7" s="17" customFormat="1" ht="12.75" hidden="1">
      <c r="A25" s="65"/>
      <c r="B25" s="529"/>
      <c r="C25" s="67">
        <v>4810</v>
      </c>
      <c r="D25" s="90" t="s">
        <v>57</v>
      </c>
      <c r="E25" s="39">
        <v>0</v>
      </c>
      <c r="G25" s="105"/>
    </row>
    <row r="26" spans="1:5" s="17" customFormat="1" ht="12.75" hidden="1">
      <c r="A26" s="65"/>
      <c r="B26" s="81">
        <v>85417</v>
      </c>
      <c r="C26" s="81"/>
      <c r="D26" s="331" t="s">
        <v>93</v>
      </c>
      <c r="E26" s="82">
        <f>SUM(E27:E27)</f>
        <v>0</v>
      </c>
    </row>
    <row r="27" spans="1:7" s="17" customFormat="1" ht="13.5" hidden="1" thickBot="1">
      <c r="A27" s="65"/>
      <c r="B27" s="529"/>
      <c r="C27" s="67">
        <v>4810</v>
      </c>
      <c r="D27" s="90" t="s">
        <v>57</v>
      </c>
      <c r="E27" s="39">
        <v>0</v>
      </c>
      <c r="G27" s="105"/>
    </row>
    <row r="28" spans="1:5" s="130" customFormat="1" ht="13.5" thickBot="1">
      <c r="A28" s="587" t="s">
        <v>120</v>
      </c>
      <c r="B28" s="588"/>
      <c r="C28" s="588"/>
      <c r="D28" s="589"/>
      <c r="E28" s="129">
        <f>E29</f>
        <v>7000</v>
      </c>
    </row>
    <row r="29" spans="1:5" s="120" customFormat="1" ht="12.75">
      <c r="A29" s="131">
        <v>900</v>
      </c>
      <c r="B29" s="132"/>
      <c r="C29" s="132"/>
      <c r="D29" s="133" t="s">
        <v>94</v>
      </c>
      <c r="E29" s="134">
        <f>E30</f>
        <v>7000</v>
      </c>
    </row>
    <row r="30" spans="1:5" s="120" customFormat="1" ht="12.75">
      <c r="A30" s="135"/>
      <c r="B30" s="136">
        <v>90095</v>
      </c>
      <c r="C30" s="136"/>
      <c r="D30" s="247" t="s">
        <v>5</v>
      </c>
      <c r="E30" s="137">
        <f>E31</f>
        <v>7000</v>
      </c>
    </row>
    <row r="31" spans="1:5" s="128" customFormat="1" ht="13.5" thickBot="1">
      <c r="A31" s="156"/>
      <c r="B31" s="157"/>
      <c r="C31" s="37">
        <v>4610</v>
      </c>
      <c r="D31" s="90" t="s">
        <v>237</v>
      </c>
      <c r="E31" s="508">
        <v>7000</v>
      </c>
    </row>
    <row r="32" spans="1:5" s="28" customFormat="1" ht="13.5" thickBot="1">
      <c r="A32" s="582" t="s">
        <v>125</v>
      </c>
      <c r="B32" s="583"/>
      <c r="C32" s="583"/>
      <c r="D32" s="584"/>
      <c r="E32" s="27">
        <f>E33+E36</f>
        <v>4281327</v>
      </c>
    </row>
    <row r="33" spans="1:5" s="17" customFormat="1" ht="12.75">
      <c r="A33" s="315">
        <v>851</v>
      </c>
      <c r="B33" s="71"/>
      <c r="C33" s="71"/>
      <c r="D33" s="345" t="s">
        <v>71</v>
      </c>
      <c r="E33" s="317">
        <f>E34</f>
        <v>43989</v>
      </c>
    </row>
    <row r="34" spans="1:5" s="17" customFormat="1" ht="12.75">
      <c r="A34" s="33"/>
      <c r="B34" s="34">
        <v>85117</v>
      </c>
      <c r="C34" s="34"/>
      <c r="D34" s="346" t="s">
        <v>73</v>
      </c>
      <c r="E34" s="35">
        <f>SUM(E35:E35)</f>
        <v>43989</v>
      </c>
    </row>
    <row r="35" spans="1:5" ht="26.25" thickBot="1">
      <c r="A35" s="65"/>
      <c r="B35" s="77"/>
      <c r="C35" s="108">
        <v>2560</v>
      </c>
      <c r="D35" s="76" t="s">
        <v>75</v>
      </c>
      <c r="E35" s="305">
        <v>43989</v>
      </c>
    </row>
    <row r="36" spans="1:5" s="17" customFormat="1" ht="12.75">
      <c r="A36" s="48">
        <v>853</v>
      </c>
      <c r="B36" s="30"/>
      <c r="C36" s="30"/>
      <c r="D36" s="31" t="s">
        <v>80</v>
      </c>
      <c r="E36" s="32">
        <f>E37+E39+E41+E43</f>
        <v>4237338</v>
      </c>
    </row>
    <row r="37" spans="1:5" s="17" customFormat="1" ht="12.75">
      <c r="A37" s="347"/>
      <c r="B37" s="51">
        <v>85301</v>
      </c>
      <c r="C37" s="34"/>
      <c r="D37" s="242" t="s">
        <v>81</v>
      </c>
      <c r="E37" s="35">
        <f>E38</f>
        <v>825678</v>
      </c>
    </row>
    <row r="38" spans="1:5" s="115" customFormat="1" ht="25.5">
      <c r="A38" s="302"/>
      <c r="B38" s="348"/>
      <c r="C38" s="349">
        <v>2580</v>
      </c>
      <c r="D38" s="252" t="s">
        <v>70</v>
      </c>
      <c r="E38" s="480">
        <v>825678</v>
      </c>
    </row>
    <row r="39" spans="1:5" s="115" customFormat="1" ht="12.75">
      <c r="A39" s="350"/>
      <c r="B39" s="51">
        <v>85302</v>
      </c>
      <c r="C39" s="34"/>
      <c r="D39" s="247" t="s">
        <v>82</v>
      </c>
      <c r="E39" s="35">
        <f>E40</f>
        <v>3220000</v>
      </c>
    </row>
    <row r="40" spans="1:5" s="115" customFormat="1" ht="25.5">
      <c r="A40" s="302"/>
      <c r="B40" s="348"/>
      <c r="C40" s="349">
        <v>2580</v>
      </c>
      <c r="D40" s="252" t="s">
        <v>70</v>
      </c>
      <c r="E40" s="480">
        <v>3220000</v>
      </c>
    </row>
    <row r="41" spans="1:7" s="115" customFormat="1" ht="12.75">
      <c r="A41" s="302"/>
      <c r="B41" s="51">
        <v>85326</v>
      </c>
      <c r="C41" s="34"/>
      <c r="D41" s="247" t="s">
        <v>84</v>
      </c>
      <c r="E41" s="35">
        <f>E42</f>
        <v>74680</v>
      </c>
      <c r="G41" s="351"/>
    </row>
    <row r="42" spans="1:5" s="115" customFormat="1" ht="25.5">
      <c r="A42" s="302"/>
      <c r="B42" s="348"/>
      <c r="C42" s="349">
        <v>2580</v>
      </c>
      <c r="D42" s="252" t="s">
        <v>70</v>
      </c>
      <c r="E42" s="480">
        <v>74680</v>
      </c>
    </row>
    <row r="43" spans="1:7" s="115" customFormat="1" ht="12.75">
      <c r="A43" s="302"/>
      <c r="B43" s="51">
        <v>85395</v>
      </c>
      <c r="C43" s="34"/>
      <c r="D43" s="260" t="s">
        <v>5</v>
      </c>
      <c r="E43" s="35">
        <f>E45+E44</f>
        <v>116980</v>
      </c>
      <c r="G43" s="351"/>
    </row>
    <row r="44" spans="1:7" s="353" customFormat="1" ht="25.5">
      <c r="A44" s="302"/>
      <c r="B44" s="352"/>
      <c r="C44" s="349">
        <v>2580</v>
      </c>
      <c r="D44" s="252" t="s">
        <v>70</v>
      </c>
      <c r="E44" s="305">
        <v>98500</v>
      </c>
      <c r="G44" s="354"/>
    </row>
    <row r="45" spans="1:5" s="115" customFormat="1" ht="13.5" thickBot="1">
      <c r="A45" s="355"/>
      <c r="B45" s="356"/>
      <c r="C45" s="357">
        <v>4440</v>
      </c>
      <c r="D45" s="253" t="s">
        <v>29</v>
      </c>
      <c r="E45" s="481">
        <v>18480</v>
      </c>
    </row>
    <row r="46" spans="1:5" s="28" customFormat="1" ht="13.5" thickBot="1">
      <c r="A46" s="582" t="s">
        <v>130</v>
      </c>
      <c r="B46" s="583"/>
      <c r="C46" s="583"/>
      <c r="D46" s="584"/>
      <c r="E46" s="27">
        <f>E47+E64</f>
        <v>10588510</v>
      </c>
    </row>
    <row r="47" spans="1:5" s="17" customFormat="1" ht="14.25" customHeight="1">
      <c r="A47" s="29">
        <v>801</v>
      </c>
      <c r="B47" s="30"/>
      <c r="C47" s="30"/>
      <c r="D47" s="31" t="s">
        <v>59</v>
      </c>
      <c r="E47" s="32">
        <f>E48+E50+E54+E56+E58+E60+E62+E52</f>
        <v>8844111</v>
      </c>
    </row>
    <row r="48" spans="1:5" ht="12.75">
      <c r="A48" s="33" t="s">
        <v>196</v>
      </c>
      <c r="B48" s="81">
        <v>80102</v>
      </c>
      <c r="C48" s="110"/>
      <c r="D48" s="259" t="s">
        <v>62</v>
      </c>
      <c r="E48" s="476">
        <f>SUM(E49:E49)</f>
        <v>57140</v>
      </c>
    </row>
    <row r="49" spans="1:5" s="337" customFormat="1" ht="25.5">
      <c r="A49" s="65"/>
      <c r="B49" s="111"/>
      <c r="C49" s="383">
        <v>2540</v>
      </c>
      <c r="D49" s="252" t="s">
        <v>61</v>
      </c>
      <c r="E49" s="477">
        <v>57140</v>
      </c>
    </row>
    <row r="50" spans="1:5" s="17" customFormat="1" ht="12.75">
      <c r="A50" s="65"/>
      <c r="B50" s="34">
        <v>80111</v>
      </c>
      <c r="C50" s="34"/>
      <c r="D50" s="259" t="s">
        <v>64</v>
      </c>
      <c r="E50" s="35">
        <f>SUM(E51:E51)</f>
        <v>199921</v>
      </c>
    </row>
    <row r="51" spans="1:5" s="17" customFormat="1" ht="25.5">
      <c r="A51" s="33"/>
      <c r="B51" s="77"/>
      <c r="C51" s="383">
        <v>2540</v>
      </c>
      <c r="D51" s="252" t="s">
        <v>61</v>
      </c>
      <c r="E51" s="477">
        <v>199921</v>
      </c>
    </row>
    <row r="52" spans="1:5" s="17" customFormat="1" ht="12.75">
      <c r="A52" s="65"/>
      <c r="B52" s="34">
        <v>80113</v>
      </c>
      <c r="C52" s="34"/>
      <c r="D52" s="240" t="s">
        <v>65</v>
      </c>
      <c r="E52" s="35">
        <f>E53</f>
        <v>0</v>
      </c>
    </row>
    <row r="53" spans="1:5" s="17" customFormat="1" ht="12.75">
      <c r="A53" s="65"/>
      <c r="B53" s="77"/>
      <c r="C53" s="377">
        <v>4300</v>
      </c>
      <c r="D53" s="90" t="s">
        <v>8</v>
      </c>
      <c r="E53" s="39">
        <v>0</v>
      </c>
    </row>
    <row r="54" spans="1:5" s="17" customFormat="1" ht="12.75">
      <c r="A54" s="65"/>
      <c r="B54" s="34">
        <v>80120</v>
      </c>
      <c r="C54" s="34"/>
      <c r="D54" s="338" t="s">
        <v>66</v>
      </c>
      <c r="E54" s="35">
        <f>SUM(E55:E55)</f>
        <v>2681389</v>
      </c>
    </row>
    <row r="55" spans="1:5" s="17" customFormat="1" ht="25.5">
      <c r="A55" s="33"/>
      <c r="B55" s="77"/>
      <c r="C55" s="383">
        <v>2540</v>
      </c>
      <c r="D55" s="252" t="s">
        <v>61</v>
      </c>
      <c r="E55" s="477">
        <v>2681389</v>
      </c>
    </row>
    <row r="56" spans="1:5" ht="12.75">
      <c r="A56" s="33"/>
      <c r="B56" s="34">
        <v>80130</v>
      </c>
      <c r="C56" s="34"/>
      <c r="D56" s="259" t="s">
        <v>225</v>
      </c>
      <c r="E56" s="35">
        <f>SUM(E57:E57)</f>
        <v>2696634</v>
      </c>
    </row>
    <row r="57" spans="1:5" s="17" customFormat="1" ht="25.5">
      <c r="A57" s="33"/>
      <c r="B57" s="77"/>
      <c r="C57" s="383">
        <v>2540</v>
      </c>
      <c r="D57" s="252" t="s">
        <v>61</v>
      </c>
      <c r="E57" s="39">
        <f>2716134-19500</f>
        <v>2696634</v>
      </c>
    </row>
    <row r="58" spans="1:5" ht="12.75">
      <c r="A58" s="33"/>
      <c r="B58" s="34">
        <v>80133</v>
      </c>
      <c r="C58" s="34"/>
      <c r="D58" s="259" t="s">
        <v>68</v>
      </c>
      <c r="E58" s="35">
        <f>SUM(E59:E59)</f>
        <v>1902035</v>
      </c>
    </row>
    <row r="59" spans="1:5" s="17" customFormat="1" ht="25.5">
      <c r="A59" s="33"/>
      <c r="B59" s="77"/>
      <c r="C59" s="383">
        <v>2540</v>
      </c>
      <c r="D59" s="252" t="s">
        <v>61</v>
      </c>
      <c r="E59" s="39">
        <v>1902035</v>
      </c>
    </row>
    <row r="60" spans="1:5" ht="12.75">
      <c r="A60" s="33"/>
      <c r="B60" s="34">
        <v>80146</v>
      </c>
      <c r="C60" s="34"/>
      <c r="D60" s="240" t="s">
        <v>248</v>
      </c>
      <c r="E60" s="35">
        <f>E61</f>
        <v>0</v>
      </c>
    </row>
    <row r="61" spans="1:5" s="17" customFormat="1" ht="12.75">
      <c r="A61" s="33"/>
      <c r="B61" s="77"/>
      <c r="C61" s="377">
        <v>4300</v>
      </c>
      <c r="D61" s="90" t="s">
        <v>8</v>
      </c>
      <c r="E61" s="39">
        <v>0</v>
      </c>
    </row>
    <row r="62" spans="1:5" ht="12.75">
      <c r="A62" s="33"/>
      <c r="B62" s="34">
        <v>80195</v>
      </c>
      <c r="C62" s="34"/>
      <c r="D62" s="259" t="s">
        <v>5</v>
      </c>
      <c r="E62" s="35">
        <f>SUM(E63:E63)</f>
        <v>1306992</v>
      </c>
    </row>
    <row r="63" spans="1:5" s="17" customFormat="1" ht="13.5" thickBot="1">
      <c r="A63" s="40"/>
      <c r="B63" s="93"/>
      <c r="C63" s="384">
        <v>4440</v>
      </c>
      <c r="D63" s="253" t="s">
        <v>29</v>
      </c>
      <c r="E63" s="44">
        <v>1306992</v>
      </c>
    </row>
    <row r="64" spans="1:5" s="17" customFormat="1" ht="14.25" customHeight="1">
      <c r="A64" s="29">
        <v>854</v>
      </c>
      <c r="B64" s="30"/>
      <c r="C64" s="30"/>
      <c r="D64" s="31" t="s">
        <v>85</v>
      </c>
      <c r="E64" s="32">
        <f>E65+E67</f>
        <v>1744399</v>
      </c>
    </row>
    <row r="65" spans="1:5" s="17" customFormat="1" ht="12.75">
      <c r="A65" s="65"/>
      <c r="B65" s="34">
        <v>85403</v>
      </c>
      <c r="C65" s="34"/>
      <c r="D65" s="242" t="s">
        <v>87</v>
      </c>
      <c r="E65" s="35">
        <f>SUM(E66:E66)</f>
        <v>1268506</v>
      </c>
    </row>
    <row r="66" spans="1:7" s="17" customFormat="1" ht="25.5">
      <c r="A66" s="33"/>
      <c r="B66" s="77"/>
      <c r="C66" s="383">
        <v>2540</v>
      </c>
      <c r="D66" s="252" t="s">
        <v>61</v>
      </c>
      <c r="E66" s="477">
        <v>1268506</v>
      </c>
      <c r="G66" s="105"/>
    </row>
    <row r="67" spans="1:5" s="17" customFormat="1" ht="12.75">
      <c r="A67" s="33"/>
      <c r="B67" s="34">
        <v>85410</v>
      </c>
      <c r="C67" s="34"/>
      <c r="D67" s="242" t="s">
        <v>91</v>
      </c>
      <c r="E67" s="35">
        <f>SUM(E68:E68)</f>
        <v>475893</v>
      </c>
    </row>
    <row r="68" spans="1:5" s="17" customFormat="1" ht="26.25" thickBot="1">
      <c r="A68" s="40"/>
      <c r="B68" s="93"/>
      <c r="C68" s="384">
        <v>2540</v>
      </c>
      <c r="D68" s="253" t="s">
        <v>61</v>
      </c>
      <c r="E68" s="479">
        <f>456393+19500</f>
        <v>475893</v>
      </c>
    </row>
    <row r="69" spans="1:5" s="28" customFormat="1" ht="13.5" thickBot="1">
      <c r="A69" s="582" t="s">
        <v>132</v>
      </c>
      <c r="B69" s="583"/>
      <c r="C69" s="583"/>
      <c r="D69" s="584"/>
      <c r="E69" s="27">
        <f>E70</f>
        <v>12227000</v>
      </c>
    </row>
    <row r="70" spans="1:5" s="17" customFormat="1" ht="12.75">
      <c r="A70" s="29">
        <v>921</v>
      </c>
      <c r="B70" s="30"/>
      <c r="C70" s="30"/>
      <c r="D70" s="31" t="s">
        <v>99</v>
      </c>
      <c r="E70" s="32">
        <f>E71+E73+E75+E77</f>
        <v>12227000</v>
      </c>
    </row>
    <row r="71" spans="1:5" s="17" customFormat="1" ht="12.75">
      <c r="A71" s="50"/>
      <c r="B71" s="34">
        <v>92106</v>
      </c>
      <c r="C71" s="107"/>
      <c r="D71" s="259" t="s">
        <v>254</v>
      </c>
      <c r="E71" s="35">
        <f>E72</f>
        <v>6267000</v>
      </c>
    </row>
    <row r="72" spans="1:7" s="17" customFormat="1" ht="15.75">
      <c r="A72" s="65"/>
      <c r="B72" s="111"/>
      <c r="C72" s="108">
        <v>2550</v>
      </c>
      <c r="D72" s="321" t="s">
        <v>104</v>
      </c>
      <c r="E72" s="39">
        <v>6267000</v>
      </c>
      <c r="G72" s="378"/>
    </row>
    <row r="73" spans="1:5" s="17" customFormat="1" ht="12.75">
      <c r="A73" s="65"/>
      <c r="B73" s="34">
        <v>92107</v>
      </c>
      <c r="C73" s="107"/>
      <c r="D73" s="259" t="s">
        <v>255</v>
      </c>
      <c r="E73" s="35">
        <f>E74</f>
        <v>4550000</v>
      </c>
    </row>
    <row r="74" spans="1:5" s="17" customFormat="1" ht="12.75">
      <c r="A74" s="65"/>
      <c r="B74" s="77"/>
      <c r="C74" s="108">
        <v>2550</v>
      </c>
      <c r="D74" s="321" t="s">
        <v>104</v>
      </c>
      <c r="E74" s="39">
        <v>4550000</v>
      </c>
    </row>
    <row r="75" spans="1:5" s="17" customFormat="1" ht="12.75">
      <c r="A75" s="65"/>
      <c r="B75" s="34">
        <v>92113</v>
      </c>
      <c r="C75" s="107"/>
      <c r="D75" s="259" t="s">
        <v>243</v>
      </c>
      <c r="E75" s="35">
        <f>E76</f>
        <v>1260000</v>
      </c>
    </row>
    <row r="76" spans="1:5" s="17" customFormat="1" ht="12.75">
      <c r="A76" s="65"/>
      <c r="B76" s="77"/>
      <c r="C76" s="108">
        <v>2550</v>
      </c>
      <c r="D76" s="321" t="s">
        <v>104</v>
      </c>
      <c r="E76" s="39">
        <v>1260000</v>
      </c>
    </row>
    <row r="77" spans="1:5" s="17" customFormat="1" ht="12.75">
      <c r="A77" s="65"/>
      <c r="B77" s="34">
        <v>92114</v>
      </c>
      <c r="C77" s="107"/>
      <c r="D77" s="259" t="s">
        <v>405</v>
      </c>
      <c r="E77" s="35">
        <f>E78</f>
        <v>150000</v>
      </c>
    </row>
    <row r="78" spans="1:5" s="17" customFormat="1" ht="13.5" thickBot="1">
      <c r="A78" s="112"/>
      <c r="B78" s="93"/>
      <c r="C78" s="114">
        <v>2550</v>
      </c>
      <c r="D78" s="385" t="s">
        <v>104</v>
      </c>
      <c r="E78" s="44">
        <v>150000</v>
      </c>
    </row>
    <row r="79" spans="1:5" s="28" customFormat="1" ht="13.5" thickBot="1">
      <c r="A79" s="582" t="s">
        <v>129</v>
      </c>
      <c r="B79" s="583"/>
      <c r="C79" s="583"/>
      <c r="D79" s="584"/>
      <c r="E79" s="27">
        <f>E80</f>
        <v>140560</v>
      </c>
    </row>
    <row r="80" spans="1:5" s="17" customFormat="1" ht="12.75">
      <c r="A80" s="48">
        <v>754</v>
      </c>
      <c r="B80" s="30"/>
      <c r="C80" s="30"/>
      <c r="D80" s="31" t="s">
        <v>46</v>
      </c>
      <c r="E80" s="394">
        <f>E81+E86</f>
        <v>140560</v>
      </c>
    </row>
    <row r="81" spans="1:5" s="17" customFormat="1" ht="12.75">
      <c r="A81" s="50"/>
      <c r="B81" s="51">
        <v>75414</v>
      </c>
      <c r="C81" s="34"/>
      <c r="D81" s="267" t="s">
        <v>48</v>
      </c>
      <c r="E81" s="261">
        <f>SUM(E82:E85)</f>
        <v>132960</v>
      </c>
    </row>
    <row r="82" spans="1:5" s="339" customFormat="1" ht="13.5" customHeight="1">
      <c r="A82" s="113"/>
      <c r="B82" s="395"/>
      <c r="C82" s="37">
        <v>4210</v>
      </c>
      <c r="D82" s="390" t="s">
        <v>7</v>
      </c>
      <c r="E82" s="478">
        <v>890</v>
      </c>
    </row>
    <row r="83" spans="1:5" s="339" customFormat="1" ht="13.5" customHeight="1">
      <c r="A83" s="113"/>
      <c r="B83" s="395"/>
      <c r="C83" s="37">
        <v>4260</v>
      </c>
      <c r="D83" s="390" t="s">
        <v>27</v>
      </c>
      <c r="E83" s="478">
        <v>5780</v>
      </c>
    </row>
    <row r="84" spans="1:5" s="339" customFormat="1" ht="12.75">
      <c r="A84" s="113"/>
      <c r="B84" s="395"/>
      <c r="C84" s="37">
        <v>4270</v>
      </c>
      <c r="D84" s="390" t="s">
        <v>2</v>
      </c>
      <c r="E84" s="478">
        <v>94200</v>
      </c>
    </row>
    <row r="85" spans="1:5" s="339" customFormat="1" ht="13.5" customHeight="1">
      <c r="A85" s="113"/>
      <c r="B85" s="395"/>
      <c r="C85" s="37">
        <v>4300</v>
      </c>
      <c r="D85" s="390" t="s">
        <v>8</v>
      </c>
      <c r="E85" s="478">
        <v>32090</v>
      </c>
    </row>
    <row r="86" spans="1:5" s="17" customFormat="1" ht="12.75">
      <c r="A86" s="113"/>
      <c r="B86" s="51">
        <v>75495</v>
      </c>
      <c r="C86" s="34"/>
      <c r="D86" s="247" t="s">
        <v>5</v>
      </c>
      <c r="E86" s="35">
        <f>SUM(E87:E88)</f>
        <v>7600</v>
      </c>
    </row>
    <row r="87" spans="1:5" s="339" customFormat="1" ht="13.5" customHeight="1">
      <c r="A87" s="113"/>
      <c r="B87" s="395"/>
      <c r="C87" s="37">
        <v>3030</v>
      </c>
      <c r="D87" s="390" t="s">
        <v>152</v>
      </c>
      <c r="E87" s="478">
        <v>6100</v>
      </c>
    </row>
    <row r="88" spans="1:5" s="339" customFormat="1" ht="13.5" customHeight="1" thickBot="1">
      <c r="A88" s="113"/>
      <c r="B88" s="395"/>
      <c r="C88" s="37">
        <v>4210</v>
      </c>
      <c r="D88" s="390" t="s">
        <v>7</v>
      </c>
      <c r="E88" s="478">
        <v>1500</v>
      </c>
    </row>
    <row r="89" spans="1:5" s="28" customFormat="1" ht="13.5" thickBot="1">
      <c r="A89" s="582" t="s">
        <v>201</v>
      </c>
      <c r="B89" s="583"/>
      <c r="C89" s="583"/>
      <c r="D89" s="584"/>
      <c r="E89" s="27">
        <f>E90</f>
        <v>50000</v>
      </c>
    </row>
    <row r="90" spans="1:5" s="17" customFormat="1" ht="12.75">
      <c r="A90" s="29">
        <v>853</v>
      </c>
      <c r="B90" s="30"/>
      <c r="C90" s="30"/>
      <c r="D90" s="31" t="s">
        <v>80</v>
      </c>
      <c r="E90" s="32">
        <f>E91+E114</f>
        <v>50000</v>
      </c>
    </row>
    <row r="91" spans="1:5" s="17" customFormat="1" ht="12.75">
      <c r="A91" s="50"/>
      <c r="B91" s="34">
        <v>85333</v>
      </c>
      <c r="C91" s="110"/>
      <c r="D91" s="247" t="s">
        <v>239</v>
      </c>
      <c r="E91" s="35">
        <f>E92</f>
        <v>50000</v>
      </c>
    </row>
    <row r="92" spans="1:5" s="17" customFormat="1" ht="39" thickBot="1">
      <c r="A92" s="396"/>
      <c r="B92" s="41"/>
      <c r="C92" s="42">
        <v>2320</v>
      </c>
      <c r="D92" s="421" t="s">
        <v>256</v>
      </c>
      <c r="E92" s="44">
        <v>50000</v>
      </c>
    </row>
    <row r="93" spans="1:5" s="139" customFormat="1" ht="13.5" thickBot="1">
      <c r="A93" s="579" t="s">
        <v>136</v>
      </c>
      <c r="B93" s="580"/>
      <c r="C93" s="580"/>
      <c r="D93" s="581"/>
      <c r="E93" s="87">
        <f>E94</f>
        <v>280000</v>
      </c>
    </row>
    <row r="94" spans="1:5" s="17" customFormat="1" ht="12.75">
      <c r="A94" s="29">
        <v>900</v>
      </c>
      <c r="B94" s="30"/>
      <c r="C94" s="30"/>
      <c r="D94" s="31" t="s">
        <v>94</v>
      </c>
      <c r="E94" s="394">
        <f>E95+E97</f>
        <v>280000</v>
      </c>
    </row>
    <row r="95" spans="1:5" s="17" customFormat="1" ht="12.75">
      <c r="A95" s="341"/>
      <c r="B95" s="34">
        <v>90001</v>
      </c>
      <c r="C95" s="110"/>
      <c r="D95" s="109" t="s">
        <v>95</v>
      </c>
      <c r="E95" s="511">
        <f>E96</f>
        <v>260000</v>
      </c>
    </row>
    <row r="96" spans="1:5" s="17" customFormat="1" ht="12.75">
      <c r="A96" s="65"/>
      <c r="B96" s="77"/>
      <c r="C96" s="37">
        <v>4300</v>
      </c>
      <c r="D96" s="407" t="s">
        <v>8</v>
      </c>
      <c r="E96" s="510">
        <v>260000</v>
      </c>
    </row>
    <row r="97" spans="1:5" s="17" customFormat="1" ht="12.75">
      <c r="A97" s="65"/>
      <c r="B97" s="34">
        <v>90095</v>
      </c>
      <c r="C97" s="110"/>
      <c r="D97" s="109" t="s">
        <v>5</v>
      </c>
      <c r="E97" s="511">
        <f>E98</f>
        <v>20000</v>
      </c>
    </row>
    <row r="98" spans="1:5" s="17" customFormat="1" ht="13.5" thickBot="1">
      <c r="A98" s="112"/>
      <c r="B98" s="93"/>
      <c r="C98" s="42">
        <v>4300</v>
      </c>
      <c r="D98" s="408" t="s">
        <v>8</v>
      </c>
      <c r="E98" s="512">
        <v>20000</v>
      </c>
    </row>
    <row r="99" spans="1:5" s="139" customFormat="1" ht="13.5" thickBot="1">
      <c r="A99" s="579" t="s">
        <v>206</v>
      </c>
      <c r="B99" s="580"/>
      <c r="C99" s="580"/>
      <c r="D99" s="581"/>
      <c r="E99" s="87">
        <f>E100</f>
        <v>1120000</v>
      </c>
    </row>
    <row r="100" spans="1:5" s="17" customFormat="1" ht="12.75">
      <c r="A100" s="78">
        <v>700</v>
      </c>
      <c r="B100" s="79"/>
      <c r="C100" s="79"/>
      <c r="D100" s="414" t="s">
        <v>21</v>
      </c>
      <c r="E100" s="80">
        <f>E101</f>
        <v>1120000</v>
      </c>
    </row>
    <row r="101" spans="1:5" s="17" customFormat="1" ht="12.75">
      <c r="A101" s="118"/>
      <c r="B101" s="91">
        <v>70095</v>
      </c>
      <c r="C101" s="91"/>
      <c r="D101" s="415" t="s">
        <v>5</v>
      </c>
      <c r="E101" s="92">
        <f>SUM(E102:E102)</f>
        <v>1120000</v>
      </c>
    </row>
    <row r="102" spans="1:5" s="374" customFormat="1" ht="13.5" thickBot="1">
      <c r="A102" s="416"/>
      <c r="B102" s="417"/>
      <c r="C102" s="45">
        <v>4300</v>
      </c>
      <c r="D102" s="408" t="s">
        <v>8</v>
      </c>
      <c r="E102" s="54">
        <v>1120000</v>
      </c>
    </row>
    <row r="103" spans="1:5" s="139" customFormat="1" ht="13.5" thickBot="1">
      <c r="A103" s="579" t="s">
        <v>205</v>
      </c>
      <c r="B103" s="580"/>
      <c r="C103" s="580"/>
      <c r="D103" s="581"/>
      <c r="E103" s="87">
        <f>E104+E111</f>
        <v>151200</v>
      </c>
    </row>
    <row r="104" spans="1:5" s="17" customFormat="1" ht="12.75">
      <c r="A104" s="78">
        <v>750</v>
      </c>
      <c r="B104" s="79"/>
      <c r="C104" s="79"/>
      <c r="D104" s="31" t="s">
        <v>22</v>
      </c>
      <c r="E104" s="80">
        <f>E105</f>
        <v>101200</v>
      </c>
    </row>
    <row r="105" spans="1:5" s="17" customFormat="1" ht="12.75">
      <c r="A105" s="140"/>
      <c r="B105" s="91">
        <v>75045</v>
      </c>
      <c r="C105" s="91"/>
      <c r="D105" s="242" t="s">
        <v>37</v>
      </c>
      <c r="E105" s="92">
        <f>SUM(E106:E110)</f>
        <v>101200</v>
      </c>
    </row>
    <row r="106" spans="1:5" s="17" customFormat="1" ht="12.75">
      <c r="A106" s="33"/>
      <c r="B106" s="77"/>
      <c r="C106" s="383">
        <v>4110</v>
      </c>
      <c r="D106" s="252" t="s">
        <v>25</v>
      </c>
      <c r="E106" s="477">
        <v>3780</v>
      </c>
    </row>
    <row r="107" spans="1:5" s="17" customFormat="1" ht="12.75">
      <c r="A107" s="33"/>
      <c r="B107" s="77"/>
      <c r="C107" s="383">
        <v>4120</v>
      </c>
      <c r="D107" s="252" t="s">
        <v>26</v>
      </c>
      <c r="E107" s="477">
        <v>685</v>
      </c>
    </row>
    <row r="108" spans="1:5" s="17" customFormat="1" ht="12.75">
      <c r="A108" s="33"/>
      <c r="B108" s="77"/>
      <c r="C108" s="37">
        <v>4210</v>
      </c>
      <c r="D108" s="76" t="s">
        <v>7</v>
      </c>
      <c r="E108" s="477">
        <v>1300</v>
      </c>
    </row>
    <row r="109" spans="1:5" s="17" customFormat="1" ht="12.75">
      <c r="A109" s="33"/>
      <c r="B109" s="77"/>
      <c r="C109" s="37">
        <v>4260</v>
      </c>
      <c r="D109" s="76" t="s">
        <v>27</v>
      </c>
      <c r="E109" s="477">
        <v>1500</v>
      </c>
    </row>
    <row r="110" spans="1:5" s="17" customFormat="1" ht="13.5" thickBot="1">
      <c r="A110" s="40"/>
      <c r="B110" s="93"/>
      <c r="C110" s="384">
        <v>4300</v>
      </c>
      <c r="D110" s="253" t="s">
        <v>8</v>
      </c>
      <c r="E110" s="479">
        <v>93935</v>
      </c>
    </row>
    <row r="111" spans="1:5" s="17" customFormat="1" ht="12.75">
      <c r="A111" s="29">
        <v>853</v>
      </c>
      <c r="B111" s="30"/>
      <c r="C111" s="30"/>
      <c r="D111" s="31" t="s">
        <v>80</v>
      </c>
      <c r="E111" s="32">
        <f>E112</f>
        <v>50000</v>
      </c>
    </row>
    <row r="112" spans="1:5" s="17" customFormat="1" ht="13.5" customHeight="1">
      <c r="A112" s="33"/>
      <c r="B112" s="34">
        <v>85334</v>
      </c>
      <c r="C112" s="34"/>
      <c r="D112" s="250" t="s">
        <v>253</v>
      </c>
      <c r="E112" s="35">
        <f>E113</f>
        <v>50000</v>
      </c>
    </row>
    <row r="113" spans="1:5" s="17" customFormat="1" ht="13.5" thickBot="1">
      <c r="A113" s="411"/>
      <c r="B113" s="412"/>
      <c r="C113" s="45">
        <v>3110</v>
      </c>
      <c r="D113" s="413" t="s">
        <v>45</v>
      </c>
      <c r="E113" s="54">
        <v>50000</v>
      </c>
    </row>
  </sheetData>
  <mergeCells count="10">
    <mergeCell ref="A99:D99"/>
    <mergeCell ref="A103:D103"/>
    <mergeCell ref="A69:D69"/>
    <mergeCell ref="A79:D79"/>
    <mergeCell ref="A89:D89"/>
    <mergeCell ref="A93:D93"/>
    <mergeCell ref="A5:D5"/>
    <mergeCell ref="A32:D32"/>
    <mergeCell ref="A46:D46"/>
    <mergeCell ref="A28:D28"/>
  </mergeCells>
  <printOptions/>
  <pageMargins left="0.75" right="0.75" top="0.49" bottom="0.45" header="0.5" footer="0.5"/>
  <pageSetup horizontalDpi="300" verticalDpi="300" orientation="portrait" paperSize="9" r:id="rId1"/>
  <rowBreaks count="1" manualBreakCount="1">
    <brk id="63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D35" sqref="D35"/>
    </sheetView>
  </sheetViews>
  <sheetFormatPr defaultColWidth="9.140625" defaultRowHeight="12.75"/>
  <cols>
    <col min="1" max="1" width="5.140625" style="120" customWidth="1"/>
    <col min="2" max="2" width="6.140625" style="120" customWidth="1"/>
    <col min="3" max="3" width="5.140625" style="120" customWidth="1"/>
    <col min="4" max="4" width="53.140625" style="120" customWidth="1"/>
    <col min="5" max="5" width="15.140625" style="120" customWidth="1"/>
    <col min="6" max="16384" width="9.140625" style="120" customWidth="1"/>
  </cols>
  <sheetData>
    <row r="1" spans="1:5" ht="13.5" thickBot="1">
      <c r="A1" s="119"/>
      <c r="E1" s="121"/>
    </row>
    <row r="2" spans="1:5" ht="15.75" thickBot="1">
      <c r="A2" s="22"/>
      <c r="C2" s="122"/>
      <c r="E2" s="123">
        <f>E5+E13+E17+E23</f>
        <v>1609109.69</v>
      </c>
    </row>
    <row r="3" ht="13.5" thickBot="1">
      <c r="C3" s="122"/>
    </row>
    <row r="4" spans="1:5" s="128" customFormat="1" ht="34.5" thickBot="1">
      <c r="A4" s="124" t="s">
        <v>115</v>
      </c>
      <c r="B4" s="125" t="s">
        <v>116</v>
      </c>
      <c r="C4" s="125" t="s">
        <v>117</v>
      </c>
      <c r="D4" s="126" t="s">
        <v>118</v>
      </c>
      <c r="E4" s="127" t="s">
        <v>184</v>
      </c>
    </row>
    <row r="5" spans="1:5" s="130" customFormat="1" ht="13.5" thickBot="1">
      <c r="A5" s="587" t="s">
        <v>180</v>
      </c>
      <c r="B5" s="588"/>
      <c r="C5" s="588"/>
      <c r="D5" s="589"/>
      <c r="E5" s="129">
        <f>E6</f>
        <v>965500</v>
      </c>
    </row>
    <row r="6" spans="1:5" ht="12.75">
      <c r="A6" s="131">
        <v>750</v>
      </c>
      <c r="B6" s="132"/>
      <c r="C6" s="132"/>
      <c r="D6" s="133" t="s">
        <v>22</v>
      </c>
      <c r="E6" s="134">
        <f>E7</f>
        <v>965500</v>
      </c>
    </row>
    <row r="7" spans="1:5" s="398" customFormat="1" ht="12.75">
      <c r="A7" s="135"/>
      <c r="B7" s="136">
        <v>75011</v>
      </c>
      <c r="C7" s="136"/>
      <c r="D7" s="250" t="s">
        <v>23</v>
      </c>
      <c r="E7" s="137">
        <f>SUM(E8:E12)</f>
        <v>965500</v>
      </c>
    </row>
    <row r="8" spans="1:5" s="398" customFormat="1" ht="12.75">
      <c r="A8" s="135"/>
      <c r="B8" s="399"/>
      <c r="C8" s="138">
        <v>4010</v>
      </c>
      <c r="D8" s="400" t="s">
        <v>24</v>
      </c>
      <c r="E8" s="508">
        <v>712820</v>
      </c>
    </row>
    <row r="9" spans="1:5" s="398" customFormat="1" ht="12.75">
      <c r="A9" s="135"/>
      <c r="B9" s="401"/>
      <c r="C9" s="138">
        <v>4110</v>
      </c>
      <c r="D9" s="38" t="s">
        <v>25</v>
      </c>
      <c r="E9" s="508">
        <v>127452</v>
      </c>
    </row>
    <row r="10" spans="1:5" s="398" customFormat="1" ht="12.75">
      <c r="A10" s="135"/>
      <c r="B10" s="401"/>
      <c r="C10" s="138">
        <v>4120</v>
      </c>
      <c r="D10" s="38" t="s">
        <v>26</v>
      </c>
      <c r="E10" s="508">
        <v>17464</v>
      </c>
    </row>
    <row r="11" spans="1:5" s="17" customFormat="1" ht="12.75">
      <c r="A11" s="33"/>
      <c r="B11" s="77"/>
      <c r="C11" s="37">
        <v>4300</v>
      </c>
      <c r="D11" s="90" t="s">
        <v>8</v>
      </c>
      <c r="E11" s="39">
        <v>90715</v>
      </c>
    </row>
    <row r="12" spans="1:5" s="17" customFormat="1" ht="13.5" thickBot="1">
      <c r="A12" s="40"/>
      <c r="B12" s="93"/>
      <c r="C12" s="42">
        <v>4440</v>
      </c>
      <c r="D12" s="336" t="s">
        <v>29</v>
      </c>
      <c r="E12" s="44">
        <v>17049</v>
      </c>
    </row>
    <row r="13" spans="1:5" s="130" customFormat="1" ht="13.5" thickBot="1">
      <c r="A13" s="587" t="s">
        <v>125</v>
      </c>
      <c r="B13" s="588"/>
      <c r="C13" s="588"/>
      <c r="D13" s="589"/>
      <c r="E13" s="129">
        <f>E14</f>
        <v>376200</v>
      </c>
    </row>
    <row r="14" spans="1:5" ht="12.75">
      <c r="A14" s="131">
        <v>853</v>
      </c>
      <c r="B14" s="132"/>
      <c r="C14" s="132"/>
      <c r="D14" s="133" t="s">
        <v>80</v>
      </c>
      <c r="E14" s="134">
        <f>E15</f>
        <v>376200</v>
      </c>
    </row>
    <row r="15" spans="1:5" s="398" customFormat="1" ht="12.75">
      <c r="A15" s="135"/>
      <c r="B15" s="136">
        <v>85303</v>
      </c>
      <c r="C15" s="136"/>
      <c r="D15" s="250" t="s">
        <v>83</v>
      </c>
      <c r="E15" s="137">
        <f>SUM(E16:E16)</f>
        <v>376200</v>
      </c>
    </row>
    <row r="16" spans="1:5" s="398" customFormat="1" ht="26.25" thickBot="1">
      <c r="A16" s="135"/>
      <c r="B16" s="399"/>
      <c r="C16" s="138">
        <v>2820</v>
      </c>
      <c r="D16" s="400" t="s">
        <v>38</v>
      </c>
      <c r="E16" s="508">
        <v>376200</v>
      </c>
    </row>
    <row r="17" spans="1:5" s="28" customFormat="1" ht="13.5" thickBot="1">
      <c r="A17" s="582" t="s">
        <v>130</v>
      </c>
      <c r="B17" s="583"/>
      <c r="C17" s="583"/>
      <c r="D17" s="584"/>
      <c r="E17" s="386">
        <f>E18+E50</f>
        <v>118.69</v>
      </c>
    </row>
    <row r="18" spans="1:5" s="17" customFormat="1" ht="14.25" customHeight="1">
      <c r="A18" s="29">
        <v>801</v>
      </c>
      <c r="B18" s="30"/>
      <c r="C18" s="30"/>
      <c r="D18" s="31" t="s">
        <v>59</v>
      </c>
      <c r="E18" s="387">
        <f>E19</f>
        <v>118.69</v>
      </c>
    </row>
    <row r="19" spans="1:5" s="17" customFormat="1" ht="12.75">
      <c r="A19" s="33"/>
      <c r="B19" s="34">
        <v>80132</v>
      </c>
      <c r="C19" s="34"/>
      <c r="D19" s="259" t="s">
        <v>67</v>
      </c>
      <c r="E19" s="388">
        <f>SUM(E20:E22)</f>
        <v>118.69</v>
      </c>
    </row>
    <row r="20" spans="1:5" s="17" customFormat="1" ht="12.75">
      <c r="A20" s="65"/>
      <c r="B20" s="77"/>
      <c r="C20" s="106">
        <v>4110</v>
      </c>
      <c r="D20" s="90" t="s">
        <v>25</v>
      </c>
      <c r="E20" s="505">
        <f>6.27+5.7</f>
        <v>11.969999999999999</v>
      </c>
    </row>
    <row r="21" spans="1:5" s="17" customFormat="1" ht="12.75">
      <c r="A21" s="65"/>
      <c r="B21" s="77"/>
      <c r="C21" s="106">
        <v>4120</v>
      </c>
      <c r="D21" s="90" t="s">
        <v>26</v>
      </c>
      <c r="E21" s="505">
        <f>0.86+0.86</f>
        <v>1.72</v>
      </c>
    </row>
    <row r="22" spans="1:5" s="17" customFormat="1" ht="13.5" thickBot="1">
      <c r="A22" s="40"/>
      <c r="B22" s="93"/>
      <c r="C22" s="370">
        <v>4300</v>
      </c>
      <c r="D22" s="336" t="s">
        <v>8</v>
      </c>
      <c r="E22" s="506">
        <v>105</v>
      </c>
    </row>
    <row r="23" spans="1:5" s="139" customFormat="1" ht="13.5" thickBot="1">
      <c r="A23" s="579" t="s">
        <v>205</v>
      </c>
      <c r="B23" s="580"/>
      <c r="C23" s="580"/>
      <c r="D23" s="581"/>
      <c r="E23" s="87">
        <f>E24+E31</f>
        <v>267291</v>
      </c>
    </row>
    <row r="24" spans="1:5" s="17" customFormat="1" ht="12.75">
      <c r="A24" s="78">
        <v>750</v>
      </c>
      <c r="B24" s="79"/>
      <c r="C24" s="79"/>
      <c r="D24" s="31" t="s">
        <v>22</v>
      </c>
      <c r="E24" s="80">
        <f>E25</f>
        <v>187550</v>
      </c>
    </row>
    <row r="25" spans="1:5" s="17" customFormat="1" ht="12.75">
      <c r="A25" s="140"/>
      <c r="B25" s="91">
        <v>75045</v>
      </c>
      <c r="C25" s="91"/>
      <c r="D25" s="242" t="s">
        <v>37</v>
      </c>
      <c r="E25" s="92">
        <f>SUM(E26:E30)</f>
        <v>187550</v>
      </c>
    </row>
    <row r="26" spans="1:5" s="17" customFormat="1" ht="12.75">
      <c r="A26" s="33"/>
      <c r="B26" s="77"/>
      <c r="C26" s="383">
        <v>4110</v>
      </c>
      <c r="D26" s="252" t="s">
        <v>25</v>
      </c>
      <c r="E26" s="477">
        <v>5161</v>
      </c>
    </row>
    <row r="27" spans="1:5" s="17" customFormat="1" ht="12.75">
      <c r="A27" s="33"/>
      <c r="B27" s="77"/>
      <c r="C27" s="383">
        <v>4120</v>
      </c>
      <c r="D27" s="252" t="s">
        <v>26</v>
      </c>
      <c r="E27" s="477">
        <v>778</v>
      </c>
    </row>
    <row r="28" spans="1:8" s="17" customFormat="1" ht="12.75">
      <c r="A28" s="33"/>
      <c r="B28" s="77"/>
      <c r="C28" s="37">
        <v>4210</v>
      </c>
      <c r="D28" s="76" t="s">
        <v>7</v>
      </c>
      <c r="E28" s="477">
        <v>1091</v>
      </c>
      <c r="G28" s="63"/>
      <c r="H28" s="59"/>
    </row>
    <row r="29" spans="1:5" s="17" customFormat="1" ht="12.75">
      <c r="A29" s="33"/>
      <c r="B29" s="77"/>
      <c r="C29" s="37">
        <v>4260</v>
      </c>
      <c r="D29" s="76" t="s">
        <v>27</v>
      </c>
      <c r="E29" s="477">
        <v>900</v>
      </c>
    </row>
    <row r="30" spans="1:5" s="17" customFormat="1" ht="13.5" thickBot="1">
      <c r="A30" s="40"/>
      <c r="B30" s="93"/>
      <c r="C30" s="384">
        <v>4300</v>
      </c>
      <c r="D30" s="253" t="s">
        <v>8</v>
      </c>
      <c r="E30" s="479">
        <f>155070+24550</f>
        <v>179620</v>
      </c>
    </row>
    <row r="31" spans="1:5" ht="12.75">
      <c r="A31" s="131">
        <v>853</v>
      </c>
      <c r="B31" s="132"/>
      <c r="C31" s="132"/>
      <c r="D31" s="133" t="s">
        <v>80</v>
      </c>
      <c r="E31" s="134">
        <f>E32</f>
        <v>79741</v>
      </c>
    </row>
    <row r="32" spans="1:5" s="398" customFormat="1" ht="12.75">
      <c r="A32" s="135"/>
      <c r="B32" s="136">
        <v>85334</v>
      </c>
      <c r="C32" s="136"/>
      <c r="D32" s="247" t="s">
        <v>253</v>
      </c>
      <c r="E32" s="137">
        <f>SUM(E33:E33)</f>
        <v>79741</v>
      </c>
    </row>
    <row r="33" spans="1:5" s="398" customFormat="1" ht="13.5" thickBot="1">
      <c r="A33" s="404"/>
      <c r="B33" s="405"/>
      <c r="C33" s="539">
        <v>3110</v>
      </c>
      <c r="D33" s="413" t="s">
        <v>45</v>
      </c>
      <c r="E33" s="523">
        <f>30089+49652</f>
        <v>79741</v>
      </c>
    </row>
  </sheetData>
  <mergeCells count="4">
    <mergeCell ref="A23:D23"/>
    <mergeCell ref="A5:D5"/>
    <mergeCell ref="A13:D13"/>
    <mergeCell ref="A17:D17"/>
  </mergeCells>
  <printOptions/>
  <pageMargins left="0.75" right="0.75" top="0.49" bottom="0.48" header="0.5" footer="0.5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SheetLayoutView="100" workbookViewId="0" topLeftCell="A1">
      <selection activeCell="F2" sqref="F2"/>
    </sheetView>
  </sheetViews>
  <sheetFormatPr defaultColWidth="9.140625" defaultRowHeight="12.75"/>
  <cols>
    <col min="1" max="1" width="5.00390625" style="17" customWidth="1"/>
    <col min="2" max="2" width="6.00390625" style="17" customWidth="1"/>
    <col min="3" max="3" width="5.140625" style="17" customWidth="1"/>
    <col min="4" max="4" width="66.421875" style="17" customWidth="1"/>
    <col min="5" max="5" width="21.00390625" style="17" customWidth="1"/>
    <col min="6" max="6" width="10.7109375" style="17" customWidth="1"/>
    <col min="7" max="7" width="14.8515625" style="17" customWidth="1"/>
    <col min="8" max="8" width="10.7109375" style="17" customWidth="1"/>
    <col min="9" max="16384" width="9.140625" style="17" customWidth="1"/>
  </cols>
  <sheetData>
    <row r="1" spans="1:5" ht="90.75" customHeight="1">
      <c r="A1" s="575" t="s">
        <v>233</v>
      </c>
      <c r="B1" s="575"/>
      <c r="C1" s="575"/>
      <c r="D1" s="575"/>
      <c r="E1" s="18" t="s">
        <v>407</v>
      </c>
    </row>
    <row r="2" spans="1:5" ht="6" customHeight="1" thickBot="1">
      <c r="A2" s="528"/>
      <c r="B2" s="528"/>
      <c r="C2" s="528"/>
      <c r="D2" s="528"/>
      <c r="E2" s="18"/>
    </row>
    <row r="3" spans="1:5" ht="15.75" thickBot="1">
      <c r="A3" s="528"/>
      <c r="B3" s="528"/>
      <c r="C3" s="528"/>
      <c r="D3" s="528"/>
      <c r="E3" s="21">
        <f>E6+E163+E206</f>
        <v>135754467</v>
      </c>
    </row>
    <row r="4" spans="1:7" ht="5.25" customHeight="1" thickBot="1">
      <c r="A4" s="19"/>
      <c r="C4" s="20"/>
      <c r="E4" s="532"/>
      <c r="F4" s="161"/>
      <c r="G4" s="162"/>
    </row>
    <row r="5" spans="1:7" s="61" customFormat="1" ht="13.5" thickBot="1">
      <c r="A5" s="23" t="s">
        <v>115</v>
      </c>
      <c r="B5" s="24" t="s">
        <v>116</v>
      </c>
      <c r="C5" s="24" t="s">
        <v>117</v>
      </c>
      <c r="D5" s="25" t="s">
        <v>118</v>
      </c>
      <c r="E5" s="26" t="s">
        <v>119</v>
      </c>
      <c r="G5" s="306"/>
    </row>
    <row r="6" spans="1:7" ht="13.5" thickBot="1">
      <c r="A6" s="590"/>
      <c r="B6" s="591"/>
      <c r="C6" s="591"/>
      <c r="D6" s="592"/>
      <c r="E6" s="47">
        <f>E7+E29+E49+E53+E69+E74+E90+E95+E100+E113+E117+E121+E138+E142+E152</f>
        <v>124681635</v>
      </c>
      <c r="G6" s="307"/>
    </row>
    <row r="7" spans="1:5" s="28" customFormat="1" ht="13.5" hidden="1" thickBot="1">
      <c r="A7" s="579" t="s">
        <v>262</v>
      </c>
      <c r="B7" s="580"/>
      <c r="C7" s="580"/>
      <c r="D7" s="581"/>
      <c r="E7" s="308">
        <f>E8+E23+E26+E11+E18</f>
        <v>0</v>
      </c>
    </row>
    <row r="8" spans="1:5" ht="14.25" customHeight="1" hidden="1">
      <c r="A8" s="29">
        <v>758</v>
      </c>
      <c r="B8" s="30"/>
      <c r="C8" s="30"/>
      <c r="D8" s="49" t="s">
        <v>52</v>
      </c>
      <c r="E8" s="32">
        <f>E9</f>
        <v>0</v>
      </c>
    </row>
    <row r="9" spans="1:5" ht="13.5" hidden="1" thickBot="1">
      <c r="A9" s="65"/>
      <c r="B9" s="34">
        <v>75818</v>
      </c>
      <c r="C9" s="66"/>
      <c r="D9" s="242" t="s">
        <v>56</v>
      </c>
      <c r="E9" s="35">
        <f>SUM(E10)</f>
        <v>0</v>
      </c>
    </row>
    <row r="10" spans="1:5" ht="14.25" customHeight="1" hidden="1">
      <c r="A10" s="52"/>
      <c r="B10" s="309"/>
      <c r="C10" s="45">
        <v>6800</v>
      </c>
      <c r="D10" s="53" t="s">
        <v>58</v>
      </c>
      <c r="E10" s="54">
        <v>0</v>
      </c>
    </row>
    <row r="11" spans="1:5" ht="13.5" hidden="1" thickBot="1">
      <c r="A11" s="29">
        <v>801</v>
      </c>
      <c r="B11" s="30"/>
      <c r="C11" s="30"/>
      <c r="D11" s="31" t="s">
        <v>59</v>
      </c>
      <c r="E11" s="32">
        <f>E12+E15</f>
        <v>0</v>
      </c>
    </row>
    <row r="12" spans="1:5" ht="13.5" hidden="1" thickBot="1">
      <c r="A12" s="33"/>
      <c r="B12" s="34">
        <v>80101</v>
      </c>
      <c r="C12" s="34"/>
      <c r="D12" s="240" t="s">
        <v>60</v>
      </c>
      <c r="E12" s="35">
        <f>SUM(E13:E14)</f>
        <v>0</v>
      </c>
    </row>
    <row r="13" spans="1:5" ht="13.5" hidden="1" thickBot="1">
      <c r="A13" s="33"/>
      <c r="B13" s="310"/>
      <c r="C13" s="97">
        <v>4810</v>
      </c>
      <c r="D13" s="299" t="s">
        <v>57</v>
      </c>
      <c r="E13" s="99">
        <f>82600-82600</f>
        <v>0</v>
      </c>
    </row>
    <row r="14" spans="1:5" s="61" customFormat="1" ht="13.5" hidden="1" thickBot="1">
      <c r="A14" s="70"/>
      <c r="B14" s="311"/>
      <c r="C14" s="37">
        <v>6800</v>
      </c>
      <c r="D14" s="38" t="s">
        <v>58</v>
      </c>
      <c r="E14" s="69">
        <f>920000-920000</f>
        <v>0</v>
      </c>
    </row>
    <row r="15" spans="1:5" ht="13.5" hidden="1" thickBot="1">
      <c r="A15" s="33"/>
      <c r="B15" s="34">
        <v>80110</v>
      </c>
      <c r="C15" s="34"/>
      <c r="D15" s="240" t="s">
        <v>63</v>
      </c>
      <c r="E15" s="35">
        <f>SUM(E16:E17)</f>
        <v>0</v>
      </c>
    </row>
    <row r="16" spans="1:5" ht="13.5" hidden="1" thickBot="1">
      <c r="A16" s="33"/>
      <c r="B16" s="310"/>
      <c r="C16" s="97">
        <v>4810</v>
      </c>
      <c r="D16" s="299" t="s">
        <v>57</v>
      </c>
      <c r="E16" s="99">
        <f>25000-25000</f>
        <v>0</v>
      </c>
    </row>
    <row r="17" spans="1:5" s="61" customFormat="1" ht="13.5" hidden="1" thickBot="1">
      <c r="A17" s="70"/>
      <c r="B17" s="311"/>
      <c r="C17" s="37">
        <v>6800</v>
      </c>
      <c r="D17" s="38" t="s">
        <v>58</v>
      </c>
      <c r="E17" s="69">
        <f>490000-490000</f>
        <v>0</v>
      </c>
    </row>
    <row r="18" spans="1:5" ht="12.75" hidden="1">
      <c r="A18" s="29">
        <v>854</v>
      </c>
      <c r="B18" s="30"/>
      <c r="C18" s="30"/>
      <c r="D18" s="31" t="s">
        <v>85</v>
      </c>
      <c r="E18" s="32">
        <f>E21+E19</f>
        <v>0</v>
      </c>
    </row>
    <row r="19" spans="1:5" ht="12.75" hidden="1">
      <c r="A19" s="350"/>
      <c r="B19" s="216">
        <v>85404</v>
      </c>
      <c r="C19" s="213"/>
      <c r="D19" s="278" t="s">
        <v>219</v>
      </c>
      <c r="E19" s="35">
        <f>E20</f>
        <v>0</v>
      </c>
    </row>
    <row r="20" spans="1:5" ht="13.5" hidden="1" thickBot="1">
      <c r="A20" s="350"/>
      <c r="B20" s="442"/>
      <c r="C20" s="37">
        <v>6800</v>
      </c>
      <c r="D20" s="38" t="s">
        <v>58</v>
      </c>
      <c r="E20" s="39">
        <f>85000-85000</f>
        <v>0</v>
      </c>
    </row>
    <row r="21" spans="1:5" ht="13.5" hidden="1" thickBot="1">
      <c r="A21" s="33"/>
      <c r="B21" s="34">
        <v>85405</v>
      </c>
      <c r="C21" s="34"/>
      <c r="D21" s="240" t="s">
        <v>89</v>
      </c>
      <c r="E21" s="82">
        <f>SUM(E22:E22)</f>
        <v>0</v>
      </c>
    </row>
    <row r="22" spans="1:5" ht="13.5" hidden="1" thickBot="1">
      <c r="A22" s="40"/>
      <c r="B22" s="41"/>
      <c r="C22" s="42">
        <v>4810</v>
      </c>
      <c r="D22" s="43" t="s">
        <v>57</v>
      </c>
      <c r="E22" s="44">
        <f>9000-5000-4000</f>
        <v>0</v>
      </c>
    </row>
    <row r="23" spans="1:5" ht="13.5" hidden="1" thickBot="1">
      <c r="A23" s="29">
        <v>921</v>
      </c>
      <c r="B23" s="30"/>
      <c r="C23" s="30"/>
      <c r="D23" s="49" t="s">
        <v>99</v>
      </c>
      <c r="E23" s="32">
        <f>E24</f>
        <v>0</v>
      </c>
    </row>
    <row r="24" spans="1:5" ht="13.5" hidden="1" thickBot="1">
      <c r="A24" s="65"/>
      <c r="B24" s="34">
        <v>92195</v>
      </c>
      <c r="C24" s="66"/>
      <c r="D24" s="242" t="s">
        <v>5</v>
      </c>
      <c r="E24" s="35">
        <f>SUM(E25)</f>
        <v>0</v>
      </c>
    </row>
    <row r="25" spans="1:5" ht="13.5" hidden="1" thickBot="1">
      <c r="A25" s="52"/>
      <c r="B25" s="309"/>
      <c r="C25" s="45">
        <v>6800</v>
      </c>
      <c r="D25" s="53" t="s">
        <v>58</v>
      </c>
      <c r="E25" s="54">
        <f>5000000-5000000</f>
        <v>0</v>
      </c>
    </row>
    <row r="26" spans="1:5" ht="12.75" hidden="1">
      <c r="A26" s="29">
        <v>926</v>
      </c>
      <c r="B26" s="30"/>
      <c r="C26" s="30"/>
      <c r="D26" s="31" t="s">
        <v>108</v>
      </c>
      <c r="E26" s="32">
        <f>E27</f>
        <v>0</v>
      </c>
    </row>
    <row r="27" spans="1:5" ht="12.75" hidden="1">
      <c r="A27" s="65"/>
      <c r="B27" s="34">
        <v>92695</v>
      </c>
      <c r="C27" s="66"/>
      <c r="D27" s="242" t="s">
        <v>5</v>
      </c>
      <c r="E27" s="35">
        <f>SUM(E28)</f>
        <v>0</v>
      </c>
    </row>
    <row r="28" spans="1:5" ht="13.5" hidden="1" thickBot="1">
      <c r="A28" s="52"/>
      <c r="B28" s="309"/>
      <c r="C28" s="45">
        <v>6800</v>
      </c>
      <c r="D28" s="53" t="s">
        <v>58</v>
      </c>
      <c r="E28" s="54">
        <v>0</v>
      </c>
    </row>
    <row r="29" spans="1:5" s="28" customFormat="1" ht="13.5" thickBot="1">
      <c r="A29" s="582" t="s">
        <v>120</v>
      </c>
      <c r="B29" s="583"/>
      <c r="C29" s="583"/>
      <c r="D29" s="584"/>
      <c r="E29" s="27">
        <f>E30+E36+E33+E46</f>
        <v>17549000</v>
      </c>
    </row>
    <row r="30" spans="1:5" ht="12.75">
      <c r="A30" s="29">
        <v>600</v>
      </c>
      <c r="B30" s="30"/>
      <c r="C30" s="30"/>
      <c r="D30" s="31" t="s">
        <v>14</v>
      </c>
      <c r="E30" s="32">
        <f>E31</f>
        <v>3335500</v>
      </c>
    </row>
    <row r="31" spans="1:5" ht="12.75">
      <c r="A31" s="33"/>
      <c r="B31" s="34">
        <v>60016</v>
      </c>
      <c r="C31" s="34"/>
      <c r="D31" s="247" t="s">
        <v>16</v>
      </c>
      <c r="E31" s="35">
        <f>SUM(E32:E32)</f>
        <v>3335500</v>
      </c>
    </row>
    <row r="32" spans="1:5" s="339" customFormat="1" ht="39" thickBot="1">
      <c r="A32" s="427"/>
      <c r="B32" s="428"/>
      <c r="C32" s="114">
        <v>6230</v>
      </c>
      <c r="D32" s="314" t="s">
        <v>257</v>
      </c>
      <c r="E32" s="243">
        <v>3335500</v>
      </c>
    </row>
    <row r="33" spans="1:5" ht="12.75">
      <c r="A33" s="315">
        <v>801</v>
      </c>
      <c r="B33" s="71"/>
      <c r="C33" s="71"/>
      <c r="D33" s="316" t="s">
        <v>59</v>
      </c>
      <c r="E33" s="317">
        <f>E34</f>
        <v>50000</v>
      </c>
    </row>
    <row r="34" spans="1:5" ht="12.75">
      <c r="A34" s="33" t="s">
        <v>194</v>
      </c>
      <c r="B34" s="34">
        <v>80101</v>
      </c>
      <c r="C34" s="34"/>
      <c r="D34" s="247" t="s">
        <v>60</v>
      </c>
      <c r="E34" s="35">
        <f>SUM(E35:E35)</f>
        <v>50000</v>
      </c>
    </row>
    <row r="35" spans="1:6" ht="39" thickBot="1">
      <c r="A35" s="112"/>
      <c r="B35" s="93"/>
      <c r="C35" s="114">
        <v>6230</v>
      </c>
      <c r="D35" s="314" t="s">
        <v>257</v>
      </c>
      <c r="E35" s="44">
        <v>50000</v>
      </c>
      <c r="F35" s="319"/>
    </row>
    <row r="36" spans="1:5" ht="12.75">
      <c r="A36" s="29">
        <v>900</v>
      </c>
      <c r="B36" s="30"/>
      <c r="C36" s="30"/>
      <c r="D36" s="31" t="s">
        <v>94</v>
      </c>
      <c r="E36" s="32">
        <f>E37+E40+E42+E44</f>
        <v>14030500</v>
      </c>
    </row>
    <row r="37" spans="1:5" ht="12.75">
      <c r="A37" s="33"/>
      <c r="B37" s="34">
        <v>90001</v>
      </c>
      <c r="C37" s="34"/>
      <c r="D37" s="247" t="s">
        <v>95</v>
      </c>
      <c r="E37" s="35">
        <f>E39+E38</f>
        <v>11635250</v>
      </c>
    </row>
    <row r="38" spans="1:5" ht="12.75">
      <c r="A38" s="33"/>
      <c r="B38" s="36"/>
      <c r="C38" s="37">
        <v>6050</v>
      </c>
      <c r="D38" s="38" t="s">
        <v>35</v>
      </c>
      <c r="E38" s="39">
        <f>4200000+350000+1800000-350000+579000</f>
        <v>6579000</v>
      </c>
    </row>
    <row r="39" spans="1:5" ht="38.25">
      <c r="A39" s="33"/>
      <c r="B39" s="36"/>
      <c r="C39" s="108">
        <v>6230</v>
      </c>
      <c r="D39" s="318" t="s">
        <v>257</v>
      </c>
      <c r="E39" s="39">
        <v>5056250</v>
      </c>
    </row>
    <row r="40" spans="1:5" ht="12.75">
      <c r="A40" s="33"/>
      <c r="B40" s="34">
        <v>90002</v>
      </c>
      <c r="C40" s="34"/>
      <c r="D40" s="268" t="s">
        <v>121</v>
      </c>
      <c r="E40" s="35">
        <f>E41</f>
        <v>1050000</v>
      </c>
    </row>
    <row r="41" spans="1:5" ht="25.5">
      <c r="A41" s="33"/>
      <c r="B41" s="36"/>
      <c r="C41" s="37">
        <v>6210</v>
      </c>
      <c r="D41" s="38" t="s">
        <v>88</v>
      </c>
      <c r="E41" s="39">
        <f>750000+300000</f>
        <v>1050000</v>
      </c>
    </row>
    <row r="42" spans="1:5" ht="12.75">
      <c r="A42" s="33"/>
      <c r="B42" s="34">
        <v>90015</v>
      </c>
      <c r="C42" s="34"/>
      <c r="D42" s="320" t="s">
        <v>98</v>
      </c>
      <c r="E42" s="35">
        <f>SUM(E43:E43)</f>
        <v>425250</v>
      </c>
    </row>
    <row r="43" spans="1:5" s="61" customFormat="1" ht="38.25">
      <c r="A43" s="302"/>
      <c r="B43" s="303"/>
      <c r="C43" s="108">
        <v>6230</v>
      </c>
      <c r="D43" s="318" t="s">
        <v>257</v>
      </c>
      <c r="E43" s="39">
        <v>425250</v>
      </c>
    </row>
    <row r="44" spans="1:5" ht="12.75">
      <c r="A44" s="33"/>
      <c r="B44" s="34">
        <v>90095</v>
      </c>
      <c r="C44" s="34"/>
      <c r="D44" s="320" t="s">
        <v>5</v>
      </c>
      <c r="E44" s="35">
        <f>E45</f>
        <v>920000</v>
      </c>
    </row>
    <row r="45" spans="1:5" ht="13.5" thickBot="1">
      <c r="A45" s="40"/>
      <c r="B45" s="41"/>
      <c r="C45" s="42">
        <v>4270</v>
      </c>
      <c r="D45" s="43" t="s">
        <v>2</v>
      </c>
      <c r="E45" s="44">
        <v>920000</v>
      </c>
    </row>
    <row r="46" spans="1:5" ht="12.75">
      <c r="A46" s="29">
        <v>926</v>
      </c>
      <c r="B46" s="30"/>
      <c r="C46" s="30"/>
      <c r="D46" s="49" t="s">
        <v>108</v>
      </c>
      <c r="E46" s="32">
        <f>E47</f>
        <v>133000</v>
      </c>
    </row>
    <row r="47" spans="1:5" ht="12.75">
      <c r="A47" s="33" t="s">
        <v>194</v>
      </c>
      <c r="B47" s="34">
        <v>92601</v>
      </c>
      <c r="C47" s="34"/>
      <c r="D47" s="247" t="s">
        <v>109</v>
      </c>
      <c r="E47" s="35">
        <f>E48</f>
        <v>133000</v>
      </c>
    </row>
    <row r="48" spans="1:5" ht="39" thickBot="1">
      <c r="A48" s="112"/>
      <c r="B48" s="93"/>
      <c r="C48" s="114">
        <v>6230</v>
      </c>
      <c r="D48" s="314" t="s">
        <v>257</v>
      </c>
      <c r="E48" s="44">
        <v>133000</v>
      </c>
    </row>
    <row r="49" spans="1:5" s="28" customFormat="1" ht="13.5" thickBot="1">
      <c r="A49" s="582" t="s">
        <v>122</v>
      </c>
      <c r="B49" s="583"/>
      <c r="C49" s="583"/>
      <c r="D49" s="584"/>
      <c r="E49" s="27">
        <f>E50</f>
        <v>90000</v>
      </c>
    </row>
    <row r="50" spans="1:5" ht="12.75">
      <c r="A50" s="29">
        <v>754</v>
      </c>
      <c r="B50" s="30"/>
      <c r="C50" s="30"/>
      <c r="D50" s="31" t="s">
        <v>46</v>
      </c>
      <c r="E50" s="32">
        <f>E51</f>
        <v>90000</v>
      </c>
    </row>
    <row r="51" spans="1:5" ht="12.75">
      <c r="A51" s="33"/>
      <c r="B51" s="34">
        <v>75416</v>
      </c>
      <c r="C51" s="34"/>
      <c r="D51" s="247" t="s">
        <v>123</v>
      </c>
      <c r="E51" s="35">
        <f>E52</f>
        <v>90000</v>
      </c>
    </row>
    <row r="52" spans="1:5" ht="13.5" thickBot="1">
      <c r="A52" s="40"/>
      <c r="B52" s="41"/>
      <c r="C52" s="45">
        <v>6060</v>
      </c>
      <c r="D52" s="46" t="s">
        <v>36</v>
      </c>
      <c r="E52" s="44">
        <v>90000</v>
      </c>
    </row>
    <row r="53" spans="1:5" s="28" customFormat="1" ht="13.5" thickBot="1">
      <c r="A53" s="582" t="s">
        <v>130</v>
      </c>
      <c r="B53" s="583"/>
      <c r="C53" s="583"/>
      <c r="D53" s="584"/>
      <c r="E53" s="27">
        <f>E54+E61+E66</f>
        <v>5638968</v>
      </c>
    </row>
    <row r="54" spans="1:5" ht="12.75">
      <c r="A54" s="29">
        <v>801</v>
      </c>
      <c r="B54" s="30"/>
      <c r="C54" s="30"/>
      <c r="D54" s="31" t="s">
        <v>59</v>
      </c>
      <c r="E54" s="32">
        <f>E55+E59</f>
        <v>4417060</v>
      </c>
    </row>
    <row r="55" spans="1:5" ht="12.75">
      <c r="A55" s="33"/>
      <c r="B55" s="34">
        <v>80101</v>
      </c>
      <c r="C55" s="34"/>
      <c r="D55" s="247" t="s">
        <v>60</v>
      </c>
      <c r="E55" s="35">
        <f>SUM(E56:E58)</f>
        <v>995060</v>
      </c>
    </row>
    <row r="56" spans="1:5" ht="12.75" hidden="1">
      <c r="A56" s="33"/>
      <c r="B56" s="36"/>
      <c r="C56" s="37">
        <v>4270</v>
      </c>
      <c r="D56" s="38" t="s">
        <v>2</v>
      </c>
      <c r="E56" s="39">
        <f>110000-110000</f>
        <v>0</v>
      </c>
    </row>
    <row r="57" spans="1:5" ht="12.75">
      <c r="A57" s="33"/>
      <c r="B57" s="36"/>
      <c r="C57" s="37">
        <v>6050</v>
      </c>
      <c r="D57" s="38" t="s">
        <v>35</v>
      </c>
      <c r="E57" s="39">
        <f>2158060+123000+500000-45000-35000-82000-13000-20000-53000-213000-15000-500000-580000-230000</f>
        <v>995060</v>
      </c>
    </row>
    <row r="58" spans="1:5" ht="12.75" hidden="1">
      <c r="A58" s="33"/>
      <c r="B58" s="36"/>
      <c r="C58" s="37">
        <v>6060</v>
      </c>
      <c r="D58" s="38" t="s">
        <v>36</v>
      </c>
      <c r="E58" s="39">
        <f>65000-40000-25000</f>
        <v>0</v>
      </c>
    </row>
    <row r="59" spans="1:5" ht="12.75">
      <c r="A59" s="33"/>
      <c r="B59" s="34">
        <v>80110</v>
      </c>
      <c r="C59" s="34"/>
      <c r="D59" s="247" t="s">
        <v>63</v>
      </c>
      <c r="E59" s="35">
        <f>SUM(E60:E60)</f>
        <v>3422000</v>
      </c>
    </row>
    <row r="60" spans="1:5" ht="13.5" thickBot="1">
      <c r="A60" s="33"/>
      <c r="B60" s="36"/>
      <c r="C60" s="37">
        <v>6050</v>
      </c>
      <c r="D60" s="38" t="s">
        <v>35</v>
      </c>
      <c r="E60" s="39">
        <f>3771000-75000-20000-25000-15000-12000-11000-13000-178000</f>
        <v>3422000</v>
      </c>
    </row>
    <row r="61" spans="1:5" ht="12.75">
      <c r="A61" s="29">
        <v>854</v>
      </c>
      <c r="B61" s="30"/>
      <c r="C61" s="30"/>
      <c r="D61" s="31" t="s">
        <v>85</v>
      </c>
      <c r="E61" s="32">
        <f>E62</f>
        <v>1185600</v>
      </c>
    </row>
    <row r="62" spans="1:5" ht="12.75">
      <c r="A62" s="33"/>
      <c r="B62" s="34">
        <v>85404</v>
      </c>
      <c r="C62" s="34"/>
      <c r="D62" s="247" t="s">
        <v>219</v>
      </c>
      <c r="E62" s="35">
        <f>SUM(E63:E65)</f>
        <v>1185600</v>
      </c>
    </row>
    <row r="63" spans="1:5" ht="25.5" hidden="1">
      <c r="A63" s="33"/>
      <c r="B63" s="36"/>
      <c r="C63" s="37">
        <v>2590</v>
      </c>
      <c r="D63" s="38" t="s">
        <v>228</v>
      </c>
      <c r="E63" s="39">
        <v>0</v>
      </c>
    </row>
    <row r="64" spans="1:5" ht="12.75">
      <c r="A64" s="33"/>
      <c r="B64" s="36"/>
      <c r="C64" s="37">
        <v>6050</v>
      </c>
      <c r="D64" s="38" t="s">
        <v>35</v>
      </c>
      <c r="E64" s="39">
        <f>1050000+2500000-500000-1951700</f>
        <v>1098300</v>
      </c>
    </row>
    <row r="65" spans="1:5" ht="26.25" thickBot="1">
      <c r="A65" s="33"/>
      <c r="B65" s="36"/>
      <c r="C65" s="37">
        <v>6210</v>
      </c>
      <c r="D65" s="38" t="s">
        <v>88</v>
      </c>
      <c r="E65" s="39">
        <f>160000-72700</f>
        <v>87300</v>
      </c>
    </row>
    <row r="66" spans="1:5" ht="12.75">
      <c r="A66" s="29">
        <v>926</v>
      </c>
      <c r="B66" s="30"/>
      <c r="C66" s="30"/>
      <c r="D66" s="31" t="s">
        <v>108</v>
      </c>
      <c r="E66" s="32">
        <f>E67</f>
        <v>36308</v>
      </c>
    </row>
    <row r="67" spans="1:5" ht="12.75">
      <c r="A67" s="33"/>
      <c r="B67" s="34">
        <v>92695</v>
      </c>
      <c r="C67" s="34"/>
      <c r="D67" s="247" t="s">
        <v>5</v>
      </c>
      <c r="E67" s="35">
        <f>E68</f>
        <v>36308</v>
      </c>
    </row>
    <row r="68" spans="1:5" ht="13.5" thickBot="1">
      <c r="A68" s="40"/>
      <c r="B68" s="41"/>
      <c r="C68" s="42">
        <v>6050</v>
      </c>
      <c r="D68" s="43" t="s">
        <v>35</v>
      </c>
      <c r="E68" s="44">
        <f>35000+1308</f>
        <v>36308</v>
      </c>
    </row>
    <row r="69" spans="1:5" s="28" customFormat="1" ht="13.5" thickBot="1">
      <c r="A69" s="582" t="s">
        <v>131</v>
      </c>
      <c r="B69" s="583"/>
      <c r="C69" s="583"/>
      <c r="D69" s="584"/>
      <c r="E69" s="27">
        <f>E70</f>
        <v>16221734</v>
      </c>
    </row>
    <row r="70" spans="1:5" ht="12.75">
      <c r="A70" s="29">
        <v>926</v>
      </c>
      <c r="B70" s="30"/>
      <c r="C70" s="30"/>
      <c r="D70" s="31" t="s">
        <v>108</v>
      </c>
      <c r="E70" s="32">
        <f>E71</f>
        <v>16221734</v>
      </c>
    </row>
    <row r="71" spans="1:5" ht="12.75">
      <c r="A71" s="33"/>
      <c r="B71" s="34">
        <v>92695</v>
      </c>
      <c r="C71" s="34"/>
      <c r="D71" s="247" t="s">
        <v>5</v>
      </c>
      <c r="E71" s="35">
        <f>E72+E73</f>
        <v>16221734</v>
      </c>
    </row>
    <row r="72" spans="1:5" ht="25.5">
      <c r="A72" s="65"/>
      <c r="B72" s="77"/>
      <c r="C72" s="37">
        <v>6210</v>
      </c>
      <c r="D72" s="38" t="s">
        <v>88</v>
      </c>
      <c r="E72" s="165">
        <v>14521734</v>
      </c>
    </row>
    <row r="73" spans="1:5" ht="39" thickBot="1">
      <c r="A73" s="65"/>
      <c r="B73" s="77"/>
      <c r="C73" s="42">
        <v>6230</v>
      </c>
      <c r="D73" s="43" t="s">
        <v>257</v>
      </c>
      <c r="E73" s="243">
        <v>1700000</v>
      </c>
    </row>
    <row r="74" spans="1:5" s="28" customFormat="1" ht="13.5" thickBot="1">
      <c r="A74" s="582" t="s">
        <v>132</v>
      </c>
      <c r="B74" s="583"/>
      <c r="C74" s="583"/>
      <c r="D74" s="584"/>
      <c r="E74" s="27">
        <f>E75</f>
        <v>10032942</v>
      </c>
    </row>
    <row r="75" spans="1:5" ht="12.75">
      <c r="A75" s="29">
        <v>921</v>
      </c>
      <c r="B75" s="30"/>
      <c r="C75" s="30"/>
      <c r="D75" s="31" t="s">
        <v>99</v>
      </c>
      <c r="E75" s="32">
        <f>+E76+E78+E81+E84+E87</f>
        <v>10032942</v>
      </c>
    </row>
    <row r="76" spans="1:5" ht="12.75">
      <c r="A76" s="65"/>
      <c r="B76" s="34">
        <v>92109</v>
      </c>
      <c r="C76" s="107"/>
      <c r="D76" s="259" t="s">
        <v>101</v>
      </c>
      <c r="E76" s="35">
        <f>E77</f>
        <v>10000</v>
      </c>
    </row>
    <row r="77" spans="1:5" ht="12.75">
      <c r="A77" s="65"/>
      <c r="B77" s="77"/>
      <c r="C77" s="108">
        <v>2550</v>
      </c>
      <c r="D77" s="321" t="s">
        <v>104</v>
      </c>
      <c r="E77" s="39">
        <v>10000</v>
      </c>
    </row>
    <row r="78" spans="1:5" ht="12.75">
      <c r="A78" s="65"/>
      <c r="B78" s="34">
        <v>92110</v>
      </c>
      <c r="C78" s="107"/>
      <c r="D78" s="259" t="s">
        <v>242</v>
      </c>
      <c r="E78" s="35">
        <f>SUM(E79:E80)</f>
        <v>60000</v>
      </c>
    </row>
    <row r="79" spans="1:5" ht="12.75">
      <c r="A79" s="65"/>
      <c r="B79" s="77"/>
      <c r="C79" s="108">
        <v>2550</v>
      </c>
      <c r="D79" s="321" t="s">
        <v>104</v>
      </c>
      <c r="E79" s="39">
        <v>50000</v>
      </c>
    </row>
    <row r="80" spans="1:5" ht="22.5">
      <c r="A80" s="65"/>
      <c r="B80" s="77"/>
      <c r="C80" s="108">
        <v>6220</v>
      </c>
      <c r="D80" s="322" t="s">
        <v>126</v>
      </c>
      <c r="E80" s="39">
        <v>10000</v>
      </c>
    </row>
    <row r="81" spans="1:5" ht="12.75">
      <c r="A81" s="65"/>
      <c r="B81" s="34">
        <v>92113</v>
      </c>
      <c r="C81" s="107"/>
      <c r="D81" s="259" t="s">
        <v>243</v>
      </c>
      <c r="E81" s="35">
        <f>E82+E83</f>
        <v>3381442</v>
      </c>
    </row>
    <row r="82" spans="1:7" ht="12.75">
      <c r="A82" s="65"/>
      <c r="B82" s="77"/>
      <c r="C82" s="108">
        <v>2550</v>
      </c>
      <c r="D82" s="321" t="s">
        <v>104</v>
      </c>
      <c r="E82" s="39">
        <f>148000+200000+600000+352000+1500000+44208+102000+60000+100000</f>
        <v>3106208</v>
      </c>
      <c r="G82" s="105" t="e">
        <f>E82+#REF!</f>
        <v>#REF!</v>
      </c>
    </row>
    <row r="83" spans="1:5" ht="22.5">
      <c r="A83" s="65"/>
      <c r="B83" s="77"/>
      <c r="C83" s="108">
        <v>6220</v>
      </c>
      <c r="D83" s="322" t="s">
        <v>126</v>
      </c>
      <c r="E83" s="39">
        <f>262000+110000-96766+100000-100000</f>
        <v>275234</v>
      </c>
    </row>
    <row r="84" spans="1:5" ht="12.75">
      <c r="A84" s="65"/>
      <c r="B84" s="34">
        <v>92116</v>
      </c>
      <c r="C84" s="107"/>
      <c r="D84" s="259" t="s">
        <v>102</v>
      </c>
      <c r="E84" s="35">
        <f>E85+E86</f>
        <v>2967500</v>
      </c>
    </row>
    <row r="85" spans="1:5" s="258" customFormat="1" ht="12.75">
      <c r="A85" s="65"/>
      <c r="B85" s="77"/>
      <c r="C85" s="108">
        <v>2550</v>
      </c>
      <c r="D85" s="252" t="s">
        <v>104</v>
      </c>
      <c r="E85" s="287">
        <f>110000+22500+350000+360000</f>
        <v>842500</v>
      </c>
    </row>
    <row r="86" spans="1:5" ht="22.5">
      <c r="A86" s="65"/>
      <c r="B86" s="77"/>
      <c r="C86" s="108">
        <v>6220</v>
      </c>
      <c r="D86" s="279" t="s">
        <v>126</v>
      </c>
      <c r="E86" s="39">
        <f>60000+15000+2000000+50000</f>
        <v>2125000</v>
      </c>
    </row>
    <row r="87" spans="1:5" ht="12.75">
      <c r="A87" s="65"/>
      <c r="B87" s="34">
        <v>92118</v>
      </c>
      <c r="C87" s="107"/>
      <c r="D87" s="259" t="s">
        <v>244</v>
      </c>
      <c r="E87" s="35">
        <f>E88+E89</f>
        <v>3614000</v>
      </c>
    </row>
    <row r="88" spans="1:5" ht="12.75">
      <c r="A88" s="65"/>
      <c r="B88" s="77"/>
      <c r="C88" s="108">
        <v>2550</v>
      </c>
      <c r="D88" s="321" t="s">
        <v>104</v>
      </c>
      <c r="E88" s="39">
        <f>420000+120000+426000+90000+40000+530000+30000+30000+400000+46000</f>
        <v>2132000</v>
      </c>
    </row>
    <row r="89" spans="1:5" ht="23.25" thickBot="1">
      <c r="A89" s="112"/>
      <c r="B89" s="93"/>
      <c r="C89" s="114">
        <v>6220</v>
      </c>
      <c r="D89" s="323" t="s">
        <v>126</v>
      </c>
      <c r="E89" s="44">
        <f>1250000+50000+120000+62000</f>
        <v>1482000</v>
      </c>
    </row>
    <row r="90" spans="1:5" s="28" customFormat="1" ht="13.5" thickBot="1">
      <c r="A90" s="582" t="s">
        <v>133</v>
      </c>
      <c r="B90" s="583"/>
      <c r="C90" s="583"/>
      <c r="D90" s="584"/>
      <c r="E90" s="27">
        <f>E91</f>
        <v>5343800</v>
      </c>
    </row>
    <row r="91" spans="1:5" ht="12.75">
      <c r="A91" s="29">
        <v>750</v>
      </c>
      <c r="B91" s="30"/>
      <c r="C91" s="30"/>
      <c r="D91" s="31" t="s">
        <v>22</v>
      </c>
      <c r="E91" s="32">
        <f>E92</f>
        <v>5343800</v>
      </c>
    </row>
    <row r="92" spans="1:5" ht="12.75">
      <c r="A92" s="33"/>
      <c r="B92" s="34">
        <v>75023</v>
      </c>
      <c r="C92" s="34"/>
      <c r="D92" s="250" t="s">
        <v>245</v>
      </c>
      <c r="E92" s="35">
        <f>SUM(E93:E94)</f>
        <v>5343800</v>
      </c>
    </row>
    <row r="93" spans="1:8" ht="12.75">
      <c r="A93" s="33"/>
      <c r="B93" s="36"/>
      <c r="C93" s="37">
        <v>6050</v>
      </c>
      <c r="D93" s="38" t="s">
        <v>35</v>
      </c>
      <c r="E93" s="39">
        <v>1343800</v>
      </c>
      <c r="F93" s="105"/>
      <c r="G93" s="105"/>
      <c r="H93" s="324"/>
    </row>
    <row r="94" spans="1:8" ht="13.5" thickBot="1">
      <c r="A94" s="40"/>
      <c r="B94" s="41"/>
      <c r="C94" s="42">
        <v>6060</v>
      </c>
      <c r="D94" s="43" t="s">
        <v>36</v>
      </c>
      <c r="E94" s="39">
        <v>4000000</v>
      </c>
      <c r="F94" s="105"/>
      <c r="G94" s="105"/>
      <c r="H94" s="324"/>
    </row>
    <row r="95" spans="1:8" s="28" customFormat="1" ht="13.5" thickBot="1">
      <c r="A95" s="582" t="s">
        <v>264</v>
      </c>
      <c r="B95" s="583"/>
      <c r="C95" s="583"/>
      <c r="D95" s="584"/>
      <c r="E95" s="27">
        <f>E96</f>
        <v>2565000</v>
      </c>
      <c r="F95" s="325"/>
      <c r="G95" s="105"/>
      <c r="H95" s="325"/>
    </row>
    <row r="96" spans="1:7" ht="12.75">
      <c r="A96" s="29">
        <v>750</v>
      </c>
      <c r="B96" s="30"/>
      <c r="C96" s="30"/>
      <c r="D96" s="31" t="s">
        <v>22</v>
      </c>
      <c r="E96" s="32">
        <f>E97</f>
        <v>2565000</v>
      </c>
      <c r="G96" s="105"/>
    </row>
    <row r="97" spans="1:5" ht="12.75">
      <c r="A97" s="33"/>
      <c r="B97" s="34">
        <v>75023</v>
      </c>
      <c r="C97" s="34"/>
      <c r="D97" s="250" t="s">
        <v>245</v>
      </c>
      <c r="E97" s="35">
        <f>SUM(E98:E99)</f>
        <v>2565000</v>
      </c>
    </row>
    <row r="98" spans="1:5" ht="12.75">
      <c r="A98" s="33"/>
      <c r="B98" s="36"/>
      <c r="C98" s="37">
        <v>6050</v>
      </c>
      <c r="D98" s="76" t="s">
        <v>35</v>
      </c>
      <c r="E98" s="39">
        <f>2400000-300000-120000+120000</f>
        <v>2100000</v>
      </c>
    </row>
    <row r="99" spans="1:5" ht="13.5" thickBot="1">
      <c r="A99" s="40"/>
      <c r="B99" s="41"/>
      <c r="C99" s="42">
        <v>6060</v>
      </c>
      <c r="D99" s="53" t="s">
        <v>36</v>
      </c>
      <c r="E99" s="44">
        <f>465000</f>
        <v>465000</v>
      </c>
    </row>
    <row r="100" spans="1:5" s="28" customFormat="1" ht="13.5" thickBot="1">
      <c r="A100" s="582" t="s">
        <v>125</v>
      </c>
      <c r="B100" s="583"/>
      <c r="C100" s="583"/>
      <c r="D100" s="584"/>
      <c r="E100" s="27">
        <f>E104+E101</f>
        <v>4103291</v>
      </c>
    </row>
    <row r="101" spans="1:5" ht="12.75">
      <c r="A101" s="29">
        <v>803</v>
      </c>
      <c r="B101" s="30"/>
      <c r="C101" s="30"/>
      <c r="D101" s="31" t="s">
        <v>268</v>
      </c>
      <c r="E101" s="32">
        <f>E102</f>
        <v>150000</v>
      </c>
    </row>
    <row r="102" spans="1:5" ht="12.75">
      <c r="A102" s="33"/>
      <c r="B102" s="34">
        <v>80395</v>
      </c>
      <c r="C102" s="34"/>
      <c r="D102" s="247" t="s">
        <v>5</v>
      </c>
      <c r="E102" s="35">
        <f>E103</f>
        <v>150000</v>
      </c>
    </row>
    <row r="103" spans="1:5" ht="39" thickBot="1">
      <c r="A103" s="33"/>
      <c r="B103" s="36"/>
      <c r="C103" s="37">
        <v>6220</v>
      </c>
      <c r="D103" s="38" t="s">
        <v>126</v>
      </c>
      <c r="E103" s="165">
        <v>150000</v>
      </c>
    </row>
    <row r="104" spans="1:5" ht="12.75">
      <c r="A104" s="29">
        <v>851</v>
      </c>
      <c r="B104" s="30"/>
      <c r="C104" s="30"/>
      <c r="D104" s="31" t="s">
        <v>71</v>
      </c>
      <c r="E104" s="32">
        <f>+E105+E109+E107+E111</f>
        <v>3953291</v>
      </c>
    </row>
    <row r="105" spans="1:5" ht="12.75">
      <c r="A105" s="33"/>
      <c r="B105" s="34">
        <v>85111</v>
      </c>
      <c r="C105" s="34"/>
      <c r="D105" s="247" t="s">
        <v>72</v>
      </c>
      <c r="E105" s="35">
        <f>E106</f>
        <v>3605080</v>
      </c>
    </row>
    <row r="106" spans="1:5" ht="38.25">
      <c r="A106" s="33"/>
      <c r="B106" s="36"/>
      <c r="C106" s="37">
        <v>6220</v>
      </c>
      <c r="D106" s="38" t="s">
        <v>126</v>
      </c>
      <c r="E106" s="165">
        <f>2330000+800000+351037+124043</f>
        <v>3605080</v>
      </c>
    </row>
    <row r="107" spans="1:5" ht="12.75">
      <c r="A107" s="33"/>
      <c r="B107" s="34">
        <v>85121</v>
      </c>
      <c r="C107" s="34"/>
      <c r="D107" s="247" t="s">
        <v>266</v>
      </c>
      <c r="E107" s="35">
        <f>E108</f>
        <v>31011</v>
      </c>
    </row>
    <row r="108" spans="1:5" ht="38.25">
      <c r="A108" s="33"/>
      <c r="B108" s="36"/>
      <c r="C108" s="37">
        <v>6220</v>
      </c>
      <c r="D108" s="38" t="s">
        <v>126</v>
      </c>
      <c r="E108" s="165">
        <v>31011</v>
      </c>
    </row>
    <row r="109" spans="1:5" ht="12.75">
      <c r="A109" s="33"/>
      <c r="B109" s="34">
        <v>85154</v>
      </c>
      <c r="C109" s="34"/>
      <c r="D109" s="247" t="s">
        <v>74</v>
      </c>
      <c r="E109" s="35">
        <f>E110</f>
        <v>296500</v>
      </c>
    </row>
    <row r="110" spans="1:5" ht="38.25">
      <c r="A110" s="33"/>
      <c r="B110" s="36"/>
      <c r="C110" s="37">
        <v>6220</v>
      </c>
      <c r="D110" s="38" t="s">
        <v>126</v>
      </c>
      <c r="E110" s="165">
        <f>120000+176500</f>
        <v>296500</v>
      </c>
    </row>
    <row r="111" spans="1:5" ht="12.75">
      <c r="A111" s="33"/>
      <c r="B111" s="34">
        <v>85195</v>
      </c>
      <c r="C111" s="34"/>
      <c r="D111" s="247" t="s">
        <v>5</v>
      </c>
      <c r="E111" s="35">
        <f>E112</f>
        <v>20700</v>
      </c>
    </row>
    <row r="112" spans="1:5" ht="39" thickBot="1">
      <c r="A112" s="40"/>
      <c r="B112" s="41"/>
      <c r="C112" s="42">
        <v>6220</v>
      </c>
      <c r="D112" s="43" t="s">
        <v>126</v>
      </c>
      <c r="E112" s="243">
        <v>20700</v>
      </c>
    </row>
    <row r="113" spans="1:5" s="88" customFormat="1" ht="15" thickBot="1">
      <c r="A113" s="579" t="s">
        <v>180</v>
      </c>
      <c r="B113" s="580"/>
      <c r="C113" s="580"/>
      <c r="D113" s="581"/>
      <c r="E113" s="87">
        <f>E114</f>
        <v>2240000</v>
      </c>
    </row>
    <row r="114" spans="1:7" ht="12.75">
      <c r="A114" s="29">
        <v>750</v>
      </c>
      <c r="B114" s="30"/>
      <c r="C114" s="30"/>
      <c r="D114" s="31" t="s">
        <v>22</v>
      </c>
      <c r="E114" s="32">
        <f>E115</f>
        <v>2240000</v>
      </c>
      <c r="G114" s="105"/>
    </row>
    <row r="115" spans="1:5" ht="12.75">
      <c r="A115" s="33"/>
      <c r="B115" s="34">
        <v>75023</v>
      </c>
      <c r="C115" s="34"/>
      <c r="D115" s="247" t="s">
        <v>245</v>
      </c>
      <c r="E115" s="35">
        <f>SUM(E116)</f>
        <v>2240000</v>
      </c>
    </row>
    <row r="116" spans="1:7" s="61" customFormat="1" ht="13.5" thickBot="1">
      <c r="A116" s="312"/>
      <c r="B116" s="313"/>
      <c r="C116" s="42">
        <v>4270</v>
      </c>
      <c r="D116" s="53" t="s">
        <v>2</v>
      </c>
      <c r="E116" s="243">
        <f>1590000+300000+350000</f>
        <v>2240000</v>
      </c>
      <c r="G116" s="150"/>
    </row>
    <row r="117" spans="1:5" s="28" customFormat="1" ht="13.5" thickBot="1">
      <c r="A117" s="579" t="s">
        <v>182</v>
      </c>
      <c r="B117" s="580"/>
      <c r="C117" s="580"/>
      <c r="D117" s="581"/>
      <c r="E117" s="87">
        <f>E118</f>
        <v>25000</v>
      </c>
    </row>
    <row r="118" spans="1:7" ht="12.75">
      <c r="A118" s="29">
        <v>750</v>
      </c>
      <c r="B118" s="30"/>
      <c r="C118" s="30"/>
      <c r="D118" s="31" t="s">
        <v>22</v>
      </c>
      <c r="E118" s="32">
        <f>E119</f>
        <v>25000</v>
      </c>
      <c r="G118" s="105"/>
    </row>
    <row r="119" spans="1:5" ht="12.75">
      <c r="A119" s="33"/>
      <c r="B119" s="34">
        <v>75023</v>
      </c>
      <c r="C119" s="34"/>
      <c r="D119" s="247" t="s">
        <v>245</v>
      </c>
      <c r="E119" s="35">
        <f>SUM(E120)</f>
        <v>25000</v>
      </c>
    </row>
    <row r="120" spans="1:5" ht="13.5" thickBot="1">
      <c r="A120" s="52"/>
      <c r="B120" s="55"/>
      <c r="C120" s="45">
        <v>6060</v>
      </c>
      <c r="D120" s="46" t="s">
        <v>36</v>
      </c>
      <c r="E120" s="54">
        <v>25000</v>
      </c>
    </row>
    <row r="121" spans="1:5" ht="13.5" thickBot="1">
      <c r="A121" s="582" t="s">
        <v>134</v>
      </c>
      <c r="B121" s="583"/>
      <c r="C121" s="583"/>
      <c r="D121" s="584"/>
      <c r="E121" s="27">
        <f>E122+E125+E134+E131</f>
        <v>41610000</v>
      </c>
    </row>
    <row r="122" spans="1:5" ht="12.75">
      <c r="A122" s="29">
        <v>600</v>
      </c>
      <c r="B122" s="30"/>
      <c r="C122" s="30"/>
      <c r="D122" s="31" t="s">
        <v>14</v>
      </c>
      <c r="E122" s="32">
        <f>E123</f>
        <v>13500000</v>
      </c>
    </row>
    <row r="123" spans="1:5" ht="12.75">
      <c r="A123" s="50"/>
      <c r="B123" s="34">
        <v>60095</v>
      </c>
      <c r="C123" s="34"/>
      <c r="D123" s="247" t="s">
        <v>5</v>
      </c>
      <c r="E123" s="35">
        <f>SUM(E124)</f>
        <v>13500000</v>
      </c>
    </row>
    <row r="124" spans="1:5" ht="26.25" thickBot="1">
      <c r="A124" s="33"/>
      <c r="B124" s="36"/>
      <c r="C124" s="37">
        <v>6010</v>
      </c>
      <c r="D124" s="38" t="s">
        <v>13</v>
      </c>
      <c r="E124" s="39">
        <f>13000000+500000</f>
        <v>13500000</v>
      </c>
    </row>
    <row r="125" spans="1:5" ht="12.75">
      <c r="A125" s="29">
        <v>700</v>
      </c>
      <c r="B125" s="30"/>
      <c r="C125" s="30"/>
      <c r="D125" s="31" t="s">
        <v>21</v>
      </c>
      <c r="E125" s="32">
        <f>E126+E128</f>
        <v>16300000</v>
      </c>
    </row>
    <row r="126" spans="1:5" ht="12.75">
      <c r="A126" s="50"/>
      <c r="B126" s="34">
        <v>70021</v>
      </c>
      <c r="C126" s="34"/>
      <c r="D126" s="247" t="s">
        <v>227</v>
      </c>
      <c r="E126" s="35">
        <f>E127</f>
        <v>14000000</v>
      </c>
    </row>
    <row r="127" spans="1:5" ht="25.5">
      <c r="A127" s="33"/>
      <c r="B127" s="301"/>
      <c r="C127" s="37">
        <v>6010</v>
      </c>
      <c r="D127" s="38" t="s">
        <v>13</v>
      </c>
      <c r="E127" s="39">
        <f>10000000+4000000</f>
        <v>14000000</v>
      </c>
    </row>
    <row r="128" spans="1:5" ht="12.75">
      <c r="A128" s="33"/>
      <c r="B128" s="34">
        <v>70095</v>
      </c>
      <c r="C128" s="34"/>
      <c r="D128" s="241" t="s">
        <v>135</v>
      </c>
      <c r="E128" s="35">
        <f>SUM(E129:E130)</f>
        <v>2300000</v>
      </c>
    </row>
    <row r="129" spans="1:5" ht="25.5">
      <c r="A129" s="33"/>
      <c r="B129" s="36"/>
      <c r="C129" s="37">
        <v>6010</v>
      </c>
      <c r="D129" s="38" t="s">
        <v>13</v>
      </c>
      <c r="E129" s="500">
        <v>2000000</v>
      </c>
    </row>
    <row r="130" spans="1:5" ht="13.5" thickBot="1">
      <c r="A130" s="40"/>
      <c r="B130" s="41"/>
      <c r="C130" s="42">
        <v>6050</v>
      </c>
      <c r="D130" s="53" t="s">
        <v>35</v>
      </c>
      <c r="E130" s="502">
        <f>3130000+67000-2897000</f>
        <v>300000</v>
      </c>
    </row>
    <row r="131" spans="1:5" ht="12.75">
      <c r="A131" s="29">
        <v>750</v>
      </c>
      <c r="B131" s="30"/>
      <c r="C131" s="30"/>
      <c r="D131" s="31" t="s">
        <v>22</v>
      </c>
      <c r="E131" s="32">
        <f>E132</f>
        <v>10000000</v>
      </c>
    </row>
    <row r="132" spans="1:5" ht="12.75">
      <c r="A132" s="33"/>
      <c r="B132" s="34">
        <v>75023</v>
      </c>
      <c r="C132" s="34"/>
      <c r="D132" s="250" t="s">
        <v>245</v>
      </c>
      <c r="E132" s="35">
        <f>SUM(E133:E133)</f>
        <v>10000000</v>
      </c>
    </row>
    <row r="133" spans="1:5" ht="13.5" thickBot="1">
      <c r="A133" s="33"/>
      <c r="B133" s="36"/>
      <c r="C133" s="45">
        <v>6060</v>
      </c>
      <c r="D133" s="46" t="s">
        <v>36</v>
      </c>
      <c r="E133" s="500">
        <v>10000000</v>
      </c>
    </row>
    <row r="134" spans="1:5" ht="12.75">
      <c r="A134" s="29">
        <v>900</v>
      </c>
      <c r="B134" s="30"/>
      <c r="C134" s="30"/>
      <c r="D134" s="31" t="s">
        <v>94</v>
      </c>
      <c r="E134" s="32">
        <f>E135</f>
        <v>1810000</v>
      </c>
    </row>
    <row r="135" spans="1:5" ht="12.75">
      <c r="A135" s="50"/>
      <c r="B135" s="34">
        <v>90095</v>
      </c>
      <c r="C135" s="34"/>
      <c r="D135" s="247" t="s">
        <v>5</v>
      </c>
      <c r="E135" s="35">
        <f>SUM(E136:E137)</f>
        <v>1810000</v>
      </c>
    </row>
    <row r="136" spans="1:5" s="61" customFormat="1" ht="12.75">
      <c r="A136" s="302"/>
      <c r="B136" s="303"/>
      <c r="C136" s="37">
        <v>4300</v>
      </c>
      <c r="D136" s="90" t="s">
        <v>8</v>
      </c>
      <c r="E136" s="305">
        <f>200000+1510000</f>
        <v>1710000</v>
      </c>
    </row>
    <row r="137" spans="1:5" ht="26.25" thickBot="1">
      <c r="A137" s="40"/>
      <c r="B137" s="41"/>
      <c r="C137" s="42">
        <v>6010</v>
      </c>
      <c r="D137" s="43" t="s">
        <v>13</v>
      </c>
      <c r="E137" s="44">
        <f>50000+50000</f>
        <v>100000</v>
      </c>
    </row>
    <row r="138" spans="1:5" ht="13.5" thickBot="1">
      <c r="A138" s="582" t="s">
        <v>186</v>
      </c>
      <c r="B138" s="583"/>
      <c r="C138" s="583"/>
      <c r="D138" s="584"/>
      <c r="E138" s="27">
        <f>E139</f>
        <v>14200000</v>
      </c>
    </row>
    <row r="139" spans="1:5" ht="12.75">
      <c r="A139" s="29">
        <v>700</v>
      </c>
      <c r="B139" s="30"/>
      <c r="C139" s="30"/>
      <c r="D139" s="31" t="s">
        <v>21</v>
      </c>
      <c r="E139" s="32">
        <f>E140</f>
        <v>14200000</v>
      </c>
    </row>
    <row r="140" spans="1:5" ht="12.75">
      <c r="A140" s="33"/>
      <c r="B140" s="34">
        <v>70001</v>
      </c>
      <c r="C140" s="34"/>
      <c r="D140" s="268" t="s">
        <v>135</v>
      </c>
      <c r="E140" s="35">
        <f>SUM(E141)</f>
        <v>14200000</v>
      </c>
    </row>
    <row r="141" spans="1:5" s="61" customFormat="1" ht="26.25" thickBot="1">
      <c r="A141" s="40"/>
      <c r="B141" s="41"/>
      <c r="C141" s="42">
        <v>6210</v>
      </c>
      <c r="D141" s="43" t="s">
        <v>88</v>
      </c>
      <c r="E141" s="243">
        <v>14200000</v>
      </c>
    </row>
    <row r="142" spans="1:5" ht="13.5" thickBot="1">
      <c r="A142" s="582" t="s">
        <v>136</v>
      </c>
      <c r="B142" s="583"/>
      <c r="C142" s="583"/>
      <c r="D142" s="584"/>
      <c r="E142" s="27">
        <f>E146+E143</f>
        <v>3472200</v>
      </c>
    </row>
    <row r="143" spans="1:5" ht="12.75">
      <c r="A143" s="116" t="s">
        <v>111</v>
      </c>
      <c r="B143" s="30"/>
      <c r="C143" s="30"/>
      <c r="D143" s="31" t="s">
        <v>0</v>
      </c>
      <c r="E143" s="32">
        <f>E144</f>
        <v>110000</v>
      </c>
    </row>
    <row r="144" spans="1:5" ht="12.75">
      <c r="A144" s="65"/>
      <c r="B144" s="117" t="s">
        <v>112</v>
      </c>
      <c r="C144" s="34"/>
      <c r="D144" s="249" t="s">
        <v>1</v>
      </c>
      <c r="E144" s="35">
        <f>E145</f>
        <v>110000</v>
      </c>
    </row>
    <row r="145" spans="1:6" ht="13.5" thickBot="1">
      <c r="A145" s="65"/>
      <c r="B145" s="77"/>
      <c r="C145" s="42">
        <v>4300</v>
      </c>
      <c r="D145" s="43" t="s">
        <v>8</v>
      </c>
      <c r="E145" s="39">
        <v>110000</v>
      </c>
      <c r="F145" s="105"/>
    </row>
    <row r="146" spans="1:5" ht="12.75">
      <c r="A146" s="29">
        <v>900</v>
      </c>
      <c r="B146" s="30"/>
      <c r="C146" s="30"/>
      <c r="D146" s="31" t="s">
        <v>94</v>
      </c>
      <c r="E146" s="32">
        <f>E147+E150</f>
        <v>3362200</v>
      </c>
    </row>
    <row r="147" spans="1:5" ht="12.75">
      <c r="A147" s="65"/>
      <c r="B147" s="34">
        <v>90001</v>
      </c>
      <c r="C147" s="34"/>
      <c r="D147" s="249" t="s">
        <v>95</v>
      </c>
      <c r="E147" s="35">
        <f>SUM(E148:E149)</f>
        <v>3312200</v>
      </c>
    </row>
    <row r="148" spans="1:6" ht="12.75">
      <c r="A148" s="65"/>
      <c r="B148" s="77"/>
      <c r="C148" s="37">
        <v>4270</v>
      </c>
      <c r="D148" s="38" t="s">
        <v>2</v>
      </c>
      <c r="E148" s="39">
        <v>1837200</v>
      </c>
      <c r="F148" s="105"/>
    </row>
    <row r="149" spans="1:6" ht="12.75">
      <c r="A149" s="65"/>
      <c r="B149" s="275"/>
      <c r="C149" s="37">
        <v>4300</v>
      </c>
      <c r="D149" s="90" t="s">
        <v>8</v>
      </c>
      <c r="E149" s="39">
        <f>480000+995000</f>
        <v>1475000</v>
      </c>
      <c r="F149" s="105"/>
    </row>
    <row r="150" spans="1:5" ht="12.75">
      <c r="A150" s="65"/>
      <c r="B150" s="34">
        <v>90095</v>
      </c>
      <c r="C150" s="34"/>
      <c r="D150" s="326" t="s">
        <v>5</v>
      </c>
      <c r="E150" s="35">
        <f>E151</f>
        <v>50000</v>
      </c>
    </row>
    <row r="151" spans="1:5" s="61" customFormat="1" ht="13.5" thickBot="1">
      <c r="A151" s="302"/>
      <c r="B151" s="303"/>
      <c r="C151" s="37">
        <v>4300</v>
      </c>
      <c r="D151" s="90" t="s">
        <v>8</v>
      </c>
      <c r="E151" s="305">
        <v>50000</v>
      </c>
    </row>
    <row r="152" spans="1:5" ht="13.5" thickBot="1">
      <c r="A152" s="582" t="s">
        <v>137</v>
      </c>
      <c r="B152" s="583"/>
      <c r="C152" s="583"/>
      <c r="D152" s="584"/>
      <c r="E152" s="27">
        <f>E153</f>
        <v>1589700</v>
      </c>
    </row>
    <row r="153" spans="1:5" ht="13.5" thickBot="1">
      <c r="A153" s="438">
        <v>921</v>
      </c>
      <c r="B153" s="439"/>
      <c r="C153" s="439"/>
      <c r="D153" s="440" t="s">
        <v>99</v>
      </c>
      <c r="E153" s="501">
        <f>E154</f>
        <v>1589700</v>
      </c>
    </row>
    <row r="154" spans="1:5" ht="12.75">
      <c r="A154" s="431"/>
      <c r="B154" s="155">
        <v>92120</v>
      </c>
      <c r="C154" s="155"/>
      <c r="D154" s="441" t="s">
        <v>103</v>
      </c>
      <c r="E154" s="291">
        <f>SUM(E155:E158)</f>
        <v>1589700</v>
      </c>
    </row>
    <row r="155" spans="1:5" ht="12.75">
      <c r="A155" s="33"/>
      <c r="B155" s="36"/>
      <c r="C155" s="108">
        <v>2520</v>
      </c>
      <c r="D155" s="252" t="s">
        <v>107</v>
      </c>
      <c r="E155" s="287">
        <f>80000+60000</f>
        <v>140000</v>
      </c>
    </row>
    <row r="156" spans="1:5" ht="12.75">
      <c r="A156" s="33"/>
      <c r="B156" s="36"/>
      <c r="C156" s="108">
        <v>2550</v>
      </c>
      <c r="D156" s="252" t="s">
        <v>104</v>
      </c>
      <c r="E156" s="287">
        <f>150000+400000-157000</f>
        <v>393000</v>
      </c>
    </row>
    <row r="157" spans="1:5" ht="38.25">
      <c r="A157" s="33"/>
      <c r="B157" s="36"/>
      <c r="C157" s="108">
        <v>2830</v>
      </c>
      <c r="D157" s="252" t="s">
        <v>77</v>
      </c>
      <c r="E157" s="477">
        <f>400000+400000+475000+100000+100000+150000-950000+92700+15000</f>
        <v>782700</v>
      </c>
    </row>
    <row r="158" spans="1:5" ht="13.5" thickBot="1">
      <c r="A158" s="40"/>
      <c r="B158" s="41"/>
      <c r="C158" s="114">
        <v>4300</v>
      </c>
      <c r="D158" s="253" t="s">
        <v>8</v>
      </c>
      <c r="E158" s="479">
        <f>150000+99000+25000</f>
        <v>274000</v>
      </c>
    </row>
    <row r="159" spans="1:5" ht="12.75">
      <c r="A159" s="62"/>
      <c r="B159" s="36"/>
      <c r="C159" s="58"/>
      <c r="D159" s="59"/>
      <c r="E159" s="64"/>
    </row>
    <row r="160" spans="1:5" ht="12.75">
      <c r="A160" s="62"/>
      <c r="B160" s="36"/>
      <c r="C160" s="58"/>
      <c r="D160" s="59"/>
      <c r="E160" s="64"/>
    </row>
    <row r="161" spans="3:7" ht="6.75" customHeight="1" thickBot="1">
      <c r="C161" s="20"/>
      <c r="G161" s="162"/>
    </row>
    <row r="162" spans="1:5" s="61" customFormat="1" ht="23.25" customHeight="1" thickBot="1">
      <c r="A162" s="23" t="s">
        <v>115</v>
      </c>
      <c r="B162" s="24" t="s">
        <v>116</v>
      </c>
      <c r="C162" s="24" t="s">
        <v>117</v>
      </c>
      <c r="D162" s="25" t="s">
        <v>118</v>
      </c>
      <c r="E162" s="26" t="s">
        <v>124</v>
      </c>
    </row>
    <row r="163" spans="1:5" ht="13.5" thickBot="1">
      <c r="A163" s="590"/>
      <c r="B163" s="591"/>
      <c r="C163" s="591"/>
      <c r="D163" s="592"/>
      <c r="E163" s="47">
        <f>E164+E168+E176+E180+E186+E172</f>
        <v>11020832</v>
      </c>
    </row>
    <row r="164" spans="1:5" s="28" customFormat="1" ht="13.5" thickBot="1">
      <c r="A164" s="579" t="s">
        <v>262</v>
      </c>
      <c r="B164" s="580"/>
      <c r="C164" s="580"/>
      <c r="D164" s="581"/>
      <c r="E164" s="27">
        <f>E165</f>
        <v>30400</v>
      </c>
    </row>
    <row r="165" spans="1:5" ht="12.75">
      <c r="A165" s="29">
        <v>801</v>
      </c>
      <c r="B165" s="30"/>
      <c r="C165" s="30"/>
      <c r="D165" s="49" t="s">
        <v>59</v>
      </c>
      <c r="E165" s="32">
        <f>E166</f>
        <v>30400</v>
      </c>
    </row>
    <row r="166" spans="1:5" s="61" customFormat="1" ht="12.75">
      <c r="A166" s="33"/>
      <c r="B166" s="248">
        <v>80120</v>
      </c>
      <c r="C166" s="484"/>
      <c r="D166" s="485" t="s">
        <v>66</v>
      </c>
      <c r="E166" s="35">
        <f>SUM(E167:E167)</f>
        <v>30400</v>
      </c>
    </row>
    <row r="167" spans="1:5" s="61" customFormat="1" ht="13.5" thickBot="1">
      <c r="A167" s="70"/>
      <c r="B167" s="461"/>
      <c r="C167" s="37">
        <v>4810</v>
      </c>
      <c r="D167" s="76" t="s">
        <v>57</v>
      </c>
      <c r="E167" s="69">
        <v>30400</v>
      </c>
    </row>
    <row r="168" spans="1:5" s="28" customFormat="1" ht="13.5" thickBot="1">
      <c r="A168" s="582" t="s">
        <v>120</v>
      </c>
      <c r="B168" s="583"/>
      <c r="C168" s="583"/>
      <c r="D168" s="584"/>
      <c r="E168" s="27">
        <f>E169</f>
        <v>4183607</v>
      </c>
    </row>
    <row r="169" spans="1:5" ht="12.75">
      <c r="A169" s="48">
        <v>851</v>
      </c>
      <c r="B169" s="30"/>
      <c r="C169" s="30"/>
      <c r="D169" s="49" t="s">
        <v>71</v>
      </c>
      <c r="E169" s="32">
        <f>E170</f>
        <v>4183607</v>
      </c>
    </row>
    <row r="170" spans="1:5" ht="12.75">
      <c r="A170" s="50"/>
      <c r="B170" s="51">
        <v>85111</v>
      </c>
      <c r="C170" s="34"/>
      <c r="D170" s="242" t="s">
        <v>72</v>
      </c>
      <c r="E170" s="35">
        <f>E171</f>
        <v>4183607</v>
      </c>
    </row>
    <row r="171" spans="1:6" ht="13.5" thickBot="1">
      <c r="A171" s="52"/>
      <c r="B171" s="309"/>
      <c r="C171" s="45">
        <v>6050</v>
      </c>
      <c r="D171" s="53" t="s">
        <v>35</v>
      </c>
      <c r="E171" s="44">
        <v>4183607</v>
      </c>
      <c r="F171" s="64"/>
    </row>
    <row r="172" spans="1:5" s="28" customFormat="1" ht="13.5" thickBot="1">
      <c r="A172" s="582" t="s">
        <v>125</v>
      </c>
      <c r="B172" s="583"/>
      <c r="C172" s="583"/>
      <c r="D172" s="584"/>
      <c r="E172" s="27">
        <f>E173</f>
        <v>63055</v>
      </c>
    </row>
    <row r="173" spans="1:5" ht="12.75">
      <c r="A173" s="29">
        <v>851</v>
      </c>
      <c r="B173" s="30"/>
      <c r="C173" s="30"/>
      <c r="D173" s="49" t="s">
        <v>71</v>
      </c>
      <c r="E173" s="32">
        <f>E174</f>
        <v>63055</v>
      </c>
    </row>
    <row r="174" spans="1:5" ht="12.75">
      <c r="A174" s="33"/>
      <c r="B174" s="34">
        <v>85117</v>
      </c>
      <c r="C174" s="34"/>
      <c r="D174" s="346" t="s">
        <v>73</v>
      </c>
      <c r="E174" s="35">
        <f>E175</f>
        <v>63055</v>
      </c>
    </row>
    <row r="175" spans="1:5" ht="39" thickBot="1">
      <c r="A175" s="33"/>
      <c r="B175" s="36"/>
      <c r="C175" s="37">
        <v>6220</v>
      </c>
      <c r="D175" s="38" t="s">
        <v>126</v>
      </c>
      <c r="E175" s="165">
        <v>63055</v>
      </c>
    </row>
    <row r="176" spans="1:5" s="28" customFormat="1" ht="13.5" thickBot="1">
      <c r="A176" s="582" t="s">
        <v>129</v>
      </c>
      <c r="B176" s="583"/>
      <c r="C176" s="583"/>
      <c r="D176" s="584"/>
      <c r="E176" s="27">
        <f>E177</f>
        <v>4658770</v>
      </c>
    </row>
    <row r="177" spans="1:5" ht="12.75">
      <c r="A177" s="29">
        <v>754</v>
      </c>
      <c r="B177" s="30"/>
      <c r="C177" s="30"/>
      <c r="D177" s="49" t="s">
        <v>46</v>
      </c>
      <c r="E177" s="32">
        <f>E178</f>
        <v>4658770</v>
      </c>
    </row>
    <row r="178" spans="1:5" ht="12.75">
      <c r="A178" s="33"/>
      <c r="B178" s="51">
        <v>75414</v>
      </c>
      <c r="C178" s="34"/>
      <c r="D178" s="242" t="s">
        <v>48</v>
      </c>
      <c r="E178" s="35">
        <f>E179</f>
        <v>4658770</v>
      </c>
    </row>
    <row r="179" spans="1:5" ht="13.5" thickBot="1">
      <c r="A179" s="40"/>
      <c r="B179" s="41"/>
      <c r="C179" s="42">
        <v>6050</v>
      </c>
      <c r="D179" s="43" t="s">
        <v>35</v>
      </c>
      <c r="E179" s="44">
        <f>3893104+300000+105666+360000</f>
        <v>4658770</v>
      </c>
    </row>
    <row r="180" spans="1:5" s="28" customFormat="1" ht="13.5" thickBot="1">
      <c r="A180" s="582" t="s">
        <v>130</v>
      </c>
      <c r="B180" s="583"/>
      <c r="C180" s="583"/>
      <c r="D180" s="584"/>
      <c r="E180" s="27">
        <f>E181</f>
        <v>115000</v>
      </c>
    </row>
    <row r="181" spans="1:5" ht="12.75">
      <c r="A181" s="29">
        <v>801</v>
      </c>
      <c r="B181" s="30"/>
      <c r="C181" s="30"/>
      <c r="D181" s="49" t="s">
        <v>59</v>
      </c>
      <c r="E181" s="32">
        <f>E182+E184</f>
        <v>115000</v>
      </c>
    </row>
    <row r="182" spans="1:5" ht="12.75">
      <c r="A182" s="50"/>
      <c r="B182" s="248">
        <v>80102</v>
      </c>
      <c r="C182" s="245"/>
      <c r="D182" s="246" t="s">
        <v>62</v>
      </c>
      <c r="E182" s="35">
        <f>SUM(E183:E183)</f>
        <v>5000</v>
      </c>
    </row>
    <row r="183" spans="1:5" ht="12.75">
      <c r="A183" s="33"/>
      <c r="B183" s="57"/>
      <c r="C183" s="67">
        <v>6050</v>
      </c>
      <c r="D183" s="68" t="s">
        <v>35</v>
      </c>
      <c r="E183" s="69">
        <v>5000</v>
      </c>
    </row>
    <row r="184" spans="1:5" s="61" customFormat="1" ht="12.75">
      <c r="A184" s="33"/>
      <c r="B184" s="248">
        <v>80120</v>
      </c>
      <c r="C184" s="245"/>
      <c r="D184" s="246" t="s">
        <v>66</v>
      </c>
      <c r="E184" s="35">
        <f>SUM(E185:E185)</f>
        <v>110000</v>
      </c>
    </row>
    <row r="185" spans="1:5" ht="13.5" thickBot="1">
      <c r="A185" s="33"/>
      <c r="B185" s="57"/>
      <c r="C185" s="67">
        <v>6050</v>
      </c>
      <c r="D185" s="68" t="s">
        <v>35</v>
      </c>
      <c r="E185" s="69">
        <v>110000</v>
      </c>
    </row>
    <row r="186" spans="1:5" s="28" customFormat="1" ht="13.5" thickBot="1">
      <c r="A186" s="582" t="s">
        <v>132</v>
      </c>
      <c r="B186" s="583"/>
      <c r="C186" s="583"/>
      <c r="D186" s="584"/>
      <c r="E186" s="27">
        <f>E187</f>
        <v>1970000</v>
      </c>
    </row>
    <row r="187" spans="1:5" ht="12.75">
      <c r="A187" s="29">
        <v>921</v>
      </c>
      <c r="B187" s="30"/>
      <c r="C187" s="30"/>
      <c r="D187" s="31" t="s">
        <v>99</v>
      </c>
      <c r="E187" s="32">
        <f>E188+E191+E194</f>
        <v>1970000</v>
      </c>
    </row>
    <row r="188" spans="1:5" ht="12.75">
      <c r="A188" s="65"/>
      <c r="B188" s="34">
        <v>92106</v>
      </c>
      <c r="C188" s="107"/>
      <c r="D188" s="259" t="s">
        <v>254</v>
      </c>
      <c r="E188" s="35">
        <f>SUM(E189:E190)</f>
        <v>1790000</v>
      </c>
    </row>
    <row r="189" spans="1:5" ht="12.75">
      <c r="A189" s="65"/>
      <c r="B189" s="77"/>
      <c r="C189" s="108">
        <v>2550</v>
      </c>
      <c r="D189" s="321" t="s">
        <v>104</v>
      </c>
      <c r="E189" s="39">
        <f>1902200-25000-272000-200</f>
        <v>1605000</v>
      </c>
    </row>
    <row r="190" spans="1:5" ht="22.5">
      <c r="A190" s="65"/>
      <c r="B190" s="77"/>
      <c r="C190" s="108">
        <v>6220</v>
      </c>
      <c r="D190" s="322" t="s">
        <v>126</v>
      </c>
      <c r="E190" s="39">
        <f>160000+25000</f>
        <v>185000</v>
      </c>
    </row>
    <row r="191" spans="1:5" ht="12.75">
      <c r="A191" s="65"/>
      <c r="B191" s="34">
        <v>92107</v>
      </c>
      <c r="C191" s="107"/>
      <c r="D191" s="259" t="s">
        <v>255</v>
      </c>
      <c r="E191" s="35">
        <f>E193+E192</f>
        <v>80000</v>
      </c>
    </row>
    <row r="192" spans="1:5" ht="12.75">
      <c r="A192" s="65"/>
      <c r="B192" s="77"/>
      <c r="C192" s="108">
        <v>2550</v>
      </c>
      <c r="D192" s="321" t="s">
        <v>104</v>
      </c>
      <c r="E192" s="39">
        <v>34482</v>
      </c>
    </row>
    <row r="193" spans="1:5" ht="22.5">
      <c r="A193" s="65"/>
      <c r="B193" s="77"/>
      <c r="C193" s="108">
        <v>6220</v>
      </c>
      <c r="D193" s="322" t="s">
        <v>126</v>
      </c>
      <c r="E193" s="39">
        <v>45518</v>
      </c>
    </row>
    <row r="194" spans="1:5" ht="12.75">
      <c r="A194" s="65"/>
      <c r="B194" s="34">
        <v>92113</v>
      </c>
      <c r="C194" s="107"/>
      <c r="D194" s="259" t="s">
        <v>243</v>
      </c>
      <c r="E194" s="35">
        <f>E195</f>
        <v>100000</v>
      </c>
    </row>
    <row r="195" spans="1:5" ht="23.25" thickBot="1">
      <c r="A195" s="112"/>
      <c r="B195" s="93"/>
      <c r="C195" s="114">
        <v>6220</v>
      </c>
      <c r="D195" s="323" t="s">
        <v>126</v>
      </c>
      <c r="E195" s="44">
        <v>100000</v>
      </c>
    </row>
    <row r="196" spans="1:11" ht="12.75">
      <c r="A196" s="56"/>
      <c r="B196" s="57"/>
      <c r="C196" s="58"/>
      <c r="D196" s="59"/>
      <c r="E196" s="60"/>
      <c r="F196" s="74"/>
      <c r="G196" s="74"/>
      <c r="K196" s="75"/>
    </row>
    <row r="197" ht="13.5" thickBot="1">
      <c r="C197" s="20"/>
    </row>
    <row r="198" spans="1:5" ht="23.25" hidden="1" thickBot="1">
      <c r="A198" s="23" t="s">
        <v>115</v>
      </c>
      <c r="B198" s="24" t="s">
        <v>116</v>
      </c>
      <c r="C198" s="24" t="s">
        <v>117</v>
      </c>
      <c r="D198" s="25" t="s">
        <v>118</v>
      </c>
      <c r="E198" s="26" t="s">
        <v>215</v>
      </c>
    </row>
    <row r="199" spans="1:5" ht="13.5" hidden="1" thickBot="1">
      <c r="A199" s="590"/>
      <c r="B199" s="591"/>
      <c r="C199" s="591"/>
      <c r="D199" s="592"/>
      <c r="E199" s="47">
        <f>E200</f>
        <v>0</v>
      </c>
    </row>
    <row r="200" spans="1:5" s="28" customFormat="1" ht="13.5" hidden="1" thickBot="1">
      <c r="A200" s="582" t="s">
        <v>125</v>
      </c>
      <c r="B200" s="583"/>
      <c r="C200" s="583"/>
      <c r="D200" s="584"/>
      <c r="E200" s="27">
        <f>E201</f>
        <v>0</v>
      </c>
    </row>
    <row r="201" spans="1:5" ht="13.5" hidden="1" thickBot="1">
      <c r="A201" s="48">
        <v>851</v>
      </c>
      <c r="B201" s="30"/>
      <c r="C201" s="30"/>
      <c r="D201" s="49" t="s">
        <v>71</v>
      </c>
      <c r="E201" s="32">
        <f>E202</f>
        <v>0</v>
      </c>
    </row>
    <row r="202" spans="1:5" ht="13.5" hidden="1" thickBot="1">
      <c r="A202" s="50"/>
      <c r="B202" s="34">
        <v>85111</v>
      </c>
      <c r="C202" s="34"/>
      <c r="D202" s="240" t="s">
        <v>72</v>
      </c>
      <c r="E202" s="35">
        <f>E203</f>
        <v>0</v>
      </c>
    </row>
    <row r="203" spans="1:5" ht="13.5" hidden="1" thickBot="1">
      <c r="A203" s="52"/>
      <c r="B203" s="55"/>
      <c r="C203" s="42">
        <v>6050</v>
      </c>
      <c r="D203" s="53" t="s">
        <v>35</v>
      </c>
      <c r="E203" s="54"/>
    </row>
    <row r="204" ht="13.5" hidden="1" thickBot="1">
      <c r="C204" s="20"/>
    </row>
    <row r="205" spans="1:5" ht="23.25" thickBot="1">
      <c r="A205" s="23" t="s">
        <v>115</v>
      </c>
      <c r="B205" s="24" t="s">
        <v>116</v>
      </c>
      <c r="C205" s="24" t="s">
        <v>117</v>
      </c>
      <c r="D205" s="25" t="s">
        <v>118</v>
      </c>
      <c r="E205" s="26" t="s">
        <v>128</v>
      </c>
    </row>
    <row r="206" spans="1:5" ht="13.5" thickBot="1">
      <c r="A206" s="590"/>
      <c r="B206" s="591"/>
      <c r="C206" s="591"/>
      <c r="D206" s="592"/>
      <c r="E206" s="47">
        <f>E207</f>
        <v>52000</v>
      </c>
    </row>
    <row r="207" spans="1:5" s="28" customFormat="1" ht="13.5" thickBot="1">
      <c r="A207" s="582" t="s">
        <v>125</v>
      </c>
      <c r="B207" s="583"/>
      <c r="C207" s="583"/>
      <c r="D207" s="584"/>
      <c r="E207" s="27">
        <f>E208</f>
        <v>52000</v>
      </c>
    </row>
    <row r="208" spans="1:5" ht="12.75">
      <c r="A208" s="48">
        <v>853</v>
      </c>
      <c r="B208" s="30"/>
      <c r="C208" s="30"/>
      <c r="D208" s="49" t="s">
        <v>80</v>
      </c>
      <c r="E208" s="32">
        <f>E209</f>
        <v>52000</v>
      </c>
    </row>
    <row r="209" spans="1:5" ht="12.75">
      <c r="A209" s="50"/>
      <c r="B209" s="244">
        <v>85303</v>
      </c>
      <c r="C209" s="245"/>
      <c r="D209" s="242" t="s">
        <v>83</v>
      </c>
      <c r="E209" s="35">
        <f>E210</f>
        <v>52000</v>
      </c>
    </row>
    <row r="210" spans="1:5" ht="13.5" thickBot="1">
      <c r="A210" s="52"/>
      <c r="B210" s="55"/>
      <c r="C210" s="45">
        <v>6060</v>
      </c>
      <c r="D210" s="46" t="s">
        <v>36</v>
      </c>
      <c r="E210" s="54">
        <v>52000</v>
      </c>
    </row>
    <row r="211" spans="1:5" ht="18.75" customHeight="1">
      <c r="A211" s="56"/>
      <c r="B211" s="57"/>
      <c r="C211" s="58"/>
      <c r="D211" s="59"/>
      <c r="E211" s="60"/>
    </row>
    <row r="212" ht="12.75">
      <c r="C212" s="20"/>
    </row>
  </sheetData>
  <mergeCells count="28">
    <mergeCell ref="A1:D1"/>
    <mergeCell ref="A6:D6"/>
    <mergeCell ref="A7:D7"/>
    <mergeCell ref="A163:D163"/>
    <mergeCell ref="A53:D53"/>
    <mergeCell ref="A29:D29"/>
    <mergeCell ref="A49:D49"/>
    <mergeCell ref="A90:D90"/>
    <mergeCell ref="A95:D95"/>
    <mergeCell ref="A69:D69"/>
    <mergeCell ref="A74:D74"/>
    <mergeCell ref="A206:D206"/>
    <mergeCell ref="A207:D207"/>
    <mergeCell ref="A100:D100"/>
    <mergeCell ref="A113:D113"/>
    <mergeCell ref="A117:D117"/>
    <mergeCell ref="A186:D186"/>
    <mergeCell ref="A180:D180"/>
    <mergeCell ref="A176:D176"/>
    <mergeCell ref="A121:D121"/>
    <mergeCell ref="A138:D138"/>
    <mergeCell ref="A199:D199"/>
    <mergeCell ref="A200:D200"/>
    <mergeCell ref="A142:D142"/>
    <mergeCell ref="A152:D152"/>
    <mergeCell ref="A164:D164"/>
    <mergeCell ref="A172:D172"/>
    <mergeCell ref="A168:D168"/>
  </mergeCells>
  <printOptions/>
  <pageMargins left="0.75" right="0.37" top="0.51" bottom="0.53" header="0.5" footer="0.5"/>
  <pageSetup horizontalDpi="300" verticalDpi="300" orientation="portrait" paperSize="9" scale="88" r:id="rId1"/>
  <rowBreaks count="3" manualBreakCount="3">
    <brk id="68" max="4" man="1"/>
    <brk id="112" max="4" man="1"/>
    <brk id="16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9" sqref="A19:IV19"/>
    </sheetView>
  </sheetViews>
  <sheetFormatPr defaultColWidth="9.140625" defaultRowHeight="12.75"/>
  <cols>
    <col min="1" max="1" width="16.57421875" style="0" bestFit="1" customWidth="1"/>
    <col min="2" max="2" width="5.00390625" style="0" bestFit="1" customWidth="1"/>
    <col min="3" max="3" width="8.140625" style="0" bestFit="1" customWidth="1"/>
    <col min="4" max="4" width="6.00390625" style="0" bestFit="1" customWidth="1"/>
    <col min="5" max="5" width="9.7109375" style="0" bestFit="1" customWidth="1"/>
    <col min="6" max="6" width="11.28125" style="0" bestFit="1" customWidth="1"/>
    <col min="7" max="7" width="12.28125" style="0" bestFit="1" customWidth="1"/>
    <col min="8" max="8" width="5.57421875" style="0" customWidth="1"/>
    <col min="9" max="9" width="5.00390625" style="0" bestFit="1" customWidth="1"/>
    <col min="10" max="10" width="8.140625" style="0" customWidth="1"/>
    <col min="11" max="11" width="15.57421875" style="0" bestFit="1" customWidth="1"/>
    <col min="12" max="12" width="9.421875" style="0" bestFit="1" customWidth="1"/>
  </cols>
  <sheetData>
    <row r="1" spans="1:12" ht="12.75">
      <c r="A1" s="538" t="s">
        <v>269</v>
      </c>
      <c r="B1" s="538" t="s">
        <v>270</v>
      </c>
      <c r="C1" s="538" t="s">
        <v>271</v>
      </c>
      <c r="D1" s="538" t="s">
        <v>272</v>
      </c>
      <c r="E1" s="538" t="s">
        <v>273</v>
      </c>
      <c r="F1" s="538" t="s">
        <v>274</v>
      </c>
      <c r="G1" s="538" t="s">
        <v>275</v>
      </c>
      <c r="H1" s="538" t="s">
        <v>276</v>
      </c>
      <c r="I1" s="538" t="s">
        <v>277</v>
      </c>
      <c r="J1" s="538" t="s">
        <v>367</v>
      </c>
      <c r="K1" s="538" t="s">
        <v>278</v>
      </c>
      <c r="L1" s="538" t="s">
        <v>279</v>
      </c>
    </row>
    <row r="2" spans="1:12" ht="12.75">
      <c r="A2" s="540" t="s">
        <v>368</v>
      </c>
      <c r="B2" s="540" t="s">
        <v>351</v>
      </c>
      <c r="C2" s="540" t="s">
        <v>282</v>
      </c>
      <c r="D2" s="540" t="s">
        <v>331</v>
      </c>
      <c r="E2" s="540" t="s">
        <v>369</v>
      </c>
      <c r="F2" s="540" t="s">
        <v>370</v>
      </c>
      <c r="G2" s="541">
        <v>-682191</v>
      </c>
      <c r="H2" s="542">
        <v>1</v>
      </c>
      <c r="I2" s="542">
        <v>2002</v>
      </c>
      <c r="J2" s="542">
        <v>2</v>
      </c>
      <c r="K2" s="540" t="s">
        <v>286</v>
      </c>
      <c r="L2" s="543">
        <v>37537</v>
      </c>
    </row>
    <row r="3" spans="1:12" ht="12.75">
      <c r="A3" s="540" t="s">
        <v>368</v>
      </c>
      <c r="B3" s="540" t="s">
        <v>351</v>
      </c>
      <c r="C3" s="540" t="s">
        <v>282</v>
      </c>
      <c r="D3" s="540" t="s">
        <v>331</v>
      </c>
      <c r="E3" s="540" t="s">
        <v>369</v>
      </c>
      <c r="F3" s="540" t="s">
        <v>370</v>
      </c>
      <c r="G3" s="541">
        <v>-20000</v>
      </c>
      <c r="H3" s="542">
        <v>1</v>
      </c>
      <c r="I3" s="542">
        <v>2002</v>
      </c>
      <c r="J3" s="542">
        <v>2</v>
      </c>
      <c r="K3" s="540" t="s">
        <v>286</v>
      </c>
      <c r="L3" s="543">
        <v>37537</v>
      </c>
    </row>
    <row r="4" spans="1:12" ht="12.75">
      <c r="A4" s="540" t="s">
        <v>368</v>
      </c>
      <c r="B4" s="540" t="s">
        <v>351</v>
      </c>
      <c r="C4" s="540" t="s">
        <v>282</v>
      </c>
      <c r="D4" s="540" t="s">
        <v>331</v>
      </c>
      <c r="E4" s="540" t="s">
        <v>369</v>
      </c>
      <c r="F4" s="540" t="s">
        <v>370</v>
      </c>
      <c r="G4" s="541">
        <v>-20500</v>
      </c>
      <c r="H4" s="542">
        <v>1</v>
      </c>
      <c r="I4" s="542">
        <v>2002</v>
      </c>
      <c r="J4" s="542">
        <v>2</v>
      </c>
      <c r="K4" s="540" t="s">
        <v>286</v>
      </c>
      <c r="L4" s="543">
        <v>37537</v>
      </c>
    </row>
    <row r="5" spans="1:12" ht="12.75">
      <c r="A5" s="540" t="s">
        <v>368</v>
      </c>
      <c r="B5" s="540" t="s">
        <v>351</v>
      </c>
      <c r="C5" s="540" t="s">
        <v>282</v>
      </c>
      <c r="D5" s="540" t="s">
        <v>331</v>
      </c>
      <c r="E5" s="540" t="s">
        <v>371</v>
      </c>
      <c r="F5" s="540" t="s">
        <v>370</v>
      </c>
      <c r="G5" s="541">
        <v>-5300</v>
      </c>
      <c r="H5" s="542">
        <v>1</v>
      </c>
      <c r="I5" s="542">
        <v>2002</v>
      </c>
      <c r="J5" s="542">
        <v>2</v>
      </c>
      <c r="K5" s="540" t="s">
        <v>286</v>
      </c>
      <c r="L5" s="543">
        <v>37537</v>
      </c>
    </row>
    <row r="6" spans="1:12" ht="12.75">
      <c r="A6" s="540" t="s">
        <v>368</v>
      </c>
      <c r="B6" s="540" t="s">
        <v>351</v>
      </c>
      <c r="C6" s="540" t="s">
        <v>282</v>
      </c>
      <c r="D6" s="540" t="s">
        <v>331</v>
      </c>
      <c r="E6" s="540" t="s">
        <v>371</v>
      </c>
      <c r="F6" s="540" t="s">
        <v>370</v>
      </c>
      <c r="G6" s="541">
        <v>-323686</v>
      </c>
      <c r="H6" s="542">
        <v>1</v>
      </c>
      <c r="I6" s="542">
        <v>2002</v>
      </c>
      <c r="J6" s="542">
        <v>2</v>
      </c>
      <c r="K6" s="540" t="s">
        <v>286</v>
      </c>
      <c r="L6" s="543">
        <v>37537</v>
      </c>
    </row>
    <row r="7" spans="1:12" ht="12.75">
      <c r="A7" s="540" t="s">
        <v>368</v>
      </c>
      <c r="B7" s="540" t="s">
        <v>351</v>
      </c>
      <c r="C7" s="540" t="s">
        <v>282</v>
      </c>
      <c r="D7" s="540" t="s">
        <v>331</v>
      </c>
      <c r="E7" s="540" t="s">
        <v>339</v>
      </c>
      <c r="F7" s="540" t="s">
        <v>370</v>
      </c>
      <c r="G7" s="541">
        <v>-965622</v>
      </c>
      <c r="H7" s="542">
        <v>1</v>
      </c>
      <c r="I7" s="542">
        <v>2002</v>
      </c>
      <c r="J7" s="542">
        <v>2</v>
      </c>
      <c r="K7" s="540" t="s">
        <v>286</v>
      </c>
      <c r="L7" s="543">
        <v>37537</v>
      </c>
    </row>
    <row r="8" spans="1:12" ht="12.75">
      <c r="A8" s="540" t="s">
        <v>368</v>
      </c>
      <c r="B8" s="540" t="s">
        <v>351</v>
      </c>
      <c r="C8" s="540" t="s">
        <v>282</v>
      </c>
      <c r="D8" s="540" t="s">
        <v>331</v>
      </c>
      <c r="E8" s="540" t="s">
        <v>339</v>
      </c>
      <c r="F8" s="540" t="s">
        <v>370</v>
      </c>
      <c r="G8" s="541">
        <v>-24000</v>
      </c>
      <c r="H8" s="542">
        <v>1</v>
      </c>
      <c r="I8" s="542">
        <v>2002</v>
      </c>
      <c r="J8" s="542">
        <v>2</v>
      </c>
      <c r="K8" s="540" t="s">
        <v>286</v>
      </c>
      <c r="L8" s="543">
        <v>37537</v>
      </c>
    </row>
    <row r="9" spans="1:12" ht="12.75">
      <c r="A9" s="540" t="s">
        <v>368</v>
      </c>
      <c r="B9" s="540" t="s">
        <v>351</v>
      </c>
      <c r="C9" s="540" t="s">
        <v>282</v>
      </c>
      <c r="D9" s="540" t="s">
        <v>331</v>
      </c>
      <c r="E9" s="540" t="s">
        <v>372</v>
      </c>
      <c r="F9" s="540" t="s">
        <v>370</v>
      </c>
      <c r="G9" s="541">
        <v>-18126</v>
      </c>
      <c r="H9" s="542">
        <v>1</v>
      </c>
      <c r="I9" s="542">
        <v>2002</v>
      </c>
      <c r="J9" s="542">
        <v>2</v>
      </c>
      <c r="K9" s="540" t="s">
        <v>286</v>
      </c>
      <c r="L9" s="543">
        <v>37537</v>
      </c>
    </row>
    <row r="10" spans="1:12" ht="12.75">
      <c r="A10" s="540" t="s">
        <v>368</v>
      </c>
      <c r="B10" s="540" t="s">
        <v>351</v>
      </c>
      <c r="C10" s="540" t="s">
        <v>282</v>
      </c>
      <c r="D10" s="540" t="s">
        <v>331</v>
      </c>
      <c r="E10" s="540" t="s">
        <v>373</v>
      </c>
      <c r="F10" s="540" t="s">
        <v>370</v>
      </c>
      <c r="G10" s="541">
        <v>-1233216</v>
      </c>
      <c r="H10" s="542">
        <v>1</v>
      </c>
      <c r="I10" s="542">
        <v>2002</v>
      </c>
      <c r="J10" s="542">
        <v>2</v>
      </c>
      <c r="K10" s="540" t="s">
        <v>286</v>
      </c>
      <c r="L10" s="543">
        <v>37537</v>
      </c>
    </row>
    <row r="11" spans="1:12" ht="12.75">
      <c r="A11" s="540" t="s">
        <v>374</v>
      </c>
      <c r="B11" s="540" t="s">
        <v>327</v>
      </c>
      <c r="C11" s="540" t="s">
        <v>282</v>
      </c>
      <c r="D11" s="540" t="s">
        <v>331</v>
      </c>
      <c r="E11" s="540" t="s">
        <v>373</v>
      </c>
      <c r="F11" s="540" t="s">
        <v>375</v>
      </c>
      <c r="G11" s="541">
        <v>-19500</v>
      </c>
      <c r="H11" s="542">
        <v>1</v>
      </c>
      <c r="I11" s="542">
        <v>2002</v>
      </c>
      <c r="J11" s="542">
        <v>2</v>
      </c>
      <c r="K11" s="540" t="s">
        <v>286</v>
      </c>
      <c r="L11" s="543">
        <v>37537</v>
      </c>
    </row>
    <row r="12" spans="1:12" ht="12.75">
      <c r="A12" s="540" t="s">
        <v>368</v>
      </c>
      <c r="B12" s="540" t="s">
        <v>351</v>
      </c>
      <c r="C12" s="540" t="s">
        <v>282</v>
      </c>
      <c r="D12" s="540" t="s">
        <v>331</v>
      </c>
      <c r="E12" s="540" t="s">
        <v>376</v>
      </c>
      <c r="F12" s="540" t="s">
        <v>370</v>
      </c>
      <c r="G12" s="541">
        <v>-24066</v>
      </c>
      <c r="H12" s="542">
        <v>1</v>
      </c>
      <c r="I12" s="542">
        <v>2002</v>
      </c>
      <c r="J12" s="542">
        <v>2</v>
      </c>
      <c r="K12" s="540" t="s">
        <v>286</v>
      </c>
      <c r="L12" s="543">
        <v>37537</v>
      </c>
    </row>
    <row r="13" spans="1:12" ht="12.75">
      <c r="A13" s="540" t="s">
        <v>368</v>
      </c>
      <c r="B13" s="540" t="s">
        <v>351</v>
      </c>
      <c r="C13" s="540" t="s">
        <v>282</v>
      </c>
      <c r="D13" s="540" t="s">
        <v>331</v>
      </c>
      <c r="E13" s="540" t="s">
        <v>376</v>
      </c>
      <c r="F13" s="540" t="s">
        <v>370</v>
      </c>
      <c r="G13" s="541">
        <v>-44229</v>
      </c>
      <c r="H13" s="542">
        <v>1</v>
      </c>
      <c r="I13" s="542">
        <v>2002</v>
      </c>
      <c r="J13" s="542">
        <v>2</v>
      </c>
      <c r="K13" s="540" t="s">
        <v>286</v>
      </c>
      <c r="L13" s="543">
        <v>37537</v>
      </c>
    </row>
    <row r="14" spans="1:12" ht="12.75">
      <c r="A14" s="540" t="s">
        <v>368</v>
      </c>
      <c r="B14" s="540" t="s">
        <v>351</v>
      </c>
      <c r="C14" s="540" t="s">
        <v>282</v>
      </c>
      <c r="D14" s="540" t="s">
        <v>331</v>
      </c>
      <c r="E14" s="540" t="s">
        <v>377</v>
      </c>
      <c r="F14" s="540" t="s">
        <v>370</v>
      </c>
      <c r="G14" s="541">
        <v>-2792</v>
      </c>
      <c r="H14" s="542">
        <v>1</v>
      </c>
      <c r="I14" s="542">
        <v>2002</v>
      </c>
      <c r="J14" s="542">
        <v>2</v>
      </c>
      <c r="K14" s="540" t="s">
        <v>286</v>
      </c>
      <c r="L14" s="543">
        <v>37537</v>
      </c>
    </row>
    <row r="15" spans="1:12" ht="12.75">
      <c r="A15" s="540" t="s">
        <v>368</v>
      </c>
      <c r="B15" s="540" t="s">
        <v>351</v>
      </c>
      <c r="C15" s="540" t="s">
        <v>282</v>
      </c>
      <c r="D15" s="540" t="s">
        <v>331</v>
      </c>
      <c r="E15" s="540" t="s">
        <v>378</v>
      </c>
      <c r="F15" s="540" t="s">
        <v>370</v>
      </c>
      <c r="G15" s="541">
        <v>-17500</v>
      </c>
      <c r="H15" s="542">
        <v>1</v>
      </c>
      <c r="I15" s="542">
        <v>2002</v>
      </c>
      <c r="J15" s="542">
        <v>2</v>
      </c>
      <c r="K15" s="540" t="s">
        <v>286</v>
      </c>
      <c r="L15" s="543">
        <v>37537</v>
      </c>
    </row>
    <row r="16" spans="1:12" ht="12.75">
      <c r="A16" s="540" t="s">
        <v>368</v>
      </c>
      <c r="B16" s="540" t="s">
        <v>351</v>
      </c>
      <c r="C16" s="540" t="s">
        <v>282</v>
      </c>
      <c r="D16" s="540" t="s">
        <v>331</v>
      </c>
      <c r="E16" s="540" t="s">
        <v>378</v>
      </c>
      <c r="F16" s="540" t="s">
        <v>370</v>
      </c>
      <c r="G16" s="541">
        <v>-88707</v>
      </c>
      <c r="H16" s="542">
        <v>1</v>
      </c>
      <c r="I16" s="542">
        <v>2002</v>
      </c>
      <c r="J16" s="542">
        <v>2</v>
      </c>
      <c r="K16" s="540" t="s">
        <v>286</v>
      </c>
      <c r="L16" s="543">
        <v>37537</v>
      </c>
    </row>
    <row r="17" spans="1:12" ht="12.75">
      <c r="A17" s="540" t="s">
        <v>368</v>
      </c>
      <c r="B17" s="540" t="s">
        <v>351</v>
      </c>
      <c r="C17" s="540" t="s">
        <v>282</v>
      </c>
      <c r="D17" s="540" t="s">
        <v>331</v>
      </c>
      <c r="E17" s="540" t="s">
        <v>379</v>
      </c>
      <c r="F17" s="540" t="s">
        <v>370</v>
      </c>
      <c r="G17" s="541">
        <v>-15662</v>
      </c>
      <c r="H17" s="542">
        <v>1</v>
      </c>
      <c r="I17" s="542">
        <v>2002</v>
      </c>
      <c r="J17" s="542">
        <v>2</v>
      </c>
      <c r="K17" s="540" t="s">
        <v>286</v>
      </c>
      <c r="L17" s="543">
        <v>37537</v>
      </c>
    </row>
    <row r="18" spans="1:12" ht="12.75">
      <c r="A18" s="540" t="s">
        <v>380</v>
      </c>
      <c r="B18" s="540" t="s">
        <v>355</v>
      </c>
      <c r="C18" s="540" t="s">
        <v>282</v>
      </c>
      <c r="D18" s="540" t="s">
        <v>289</v>
      </c>
      <c r="E18" s="540" t="s">
        <v>366</v>
      </c>
      <c r="F18" s="540" t="s">
        <v>381</v>
      </c>
      <c r="G18" s="541">
        <v>43989</v>
      </c>
      <c r="H18" s="542">
        <v>1</v>
      </c>
      <c r="I18" s="542">
        <v>2002</v>
      </c>
      <c r="J18" s="542">
        <v>2</v>
      </c>
      <c r="K18" s="540" t="s">
        <v>286</v>
      </c>
      <c r="L18" s="543">
        <v>37537</v>
      </c>
    </row>
    <row r="19" spans="1:12" ht="12.75">
      <c r="A19" s="540" t="s">
        <v>382</v>
      </c>
      <c r="B19" s="540" t="s">
        <v>383</v>
      </c>
      <c r="C19" s="540" t="s">
        <v>384</v>
      </c>
      <c r="D19" s="540" t="s">
        <v>385</v>
      </c>
      <c r="E19" s="540" t="s">
        <v>386</v>
      </c>
      <c r="F19" s="540" t="s">
        <v>387</v>
      </c>
      <c r="G19" s="541">
        <v>30089</v>
      </c>
      <c r="H19" s="542">
        <v>1</v>
      </c>
      <c r="I19" s="542">
        <v>2002</v>
      </c>
      <c r="J19" s="542">
        <v>2</v>
      </c>
      <c r="K19" s="540" t="s">
        <v>286</v>
      </c>
      <c r="L19" s="543">
        <v>37537</v>
      </c>
    </row>
    <row r="20" spans="1:12" ht="12.75">
      <c r="A20" s="540" t="s">
        <v>368</v>
      </c>
      <c r="B20" s="540" t="s">
        <v>351</v>
      </c>
      <c r="C20" s="540" t="s">
        <v>282</v>
      </c>
      <c r="D20" s="540" t="s">
        <v>328</v>
      </c>
      <c r="E20" s="540" t="s">
        <v>388</v>
      </c>
      <c r="F20" s="540" t="s">
        <v>370</v>
      </c>
      <c r="G20" s="541">
        <v>-23690</v>
      </c>
      <c r="H20" s="542">
        <v>1</v>
      </c>
      <c r="I20" s="542">
        <v>2002</v>
      </c>
      <c r="J20" s="542">
        <v>2</v>
      </c>
      <c r="K20" s="540" t="s">
        <v>286</v>
      </c>
      <c r="L20" s="543">
        <v>37537</v>
      </c>
    </row>
    <row r="21" spans="1:12" ht="12.75">
      <c r="A21" s="540" t="s">
        <v>368</v>
      </c>
      <c r="B21" s="540" t="s">
        <v>351</v>
      </c>
      <c r="C21" s="540" t="s">
        <v>282</v>
      </c>
      <c r="D21" s="540" t="s">
        <v>328</v>
      </c>
      <c r="E21" s="540" t="s">
        <v>389</v>
      </c>
      <c r="F21" s="540" t="s">
        <v>370</v>
      </c>
      <c r="G21" s="541">
        <v>-67691</v>
      </c>
      <c r="H21" s="542">
        <v>1</v>
      </c>
      <c r="I21" s="542">
        <v>2002</v>
      </c>
      <c r="J21" s="542">
        <v>2</v>
      </c>
      <c r="K21" s="540" t="s">
        <v>286</v>
      </c>
      <c r="L21" s="543">
        <v>37537</v>
      </c>
    </row>
    <row r="22" spans="1:12" ht="12.75">
      <c r="A22" s="540" t="s">
        <v>368</v>
      </c>
      <c r="B22" s="540" t="s">
        <v>351</v>
      </c>
      <c r="C22" s="540" t="s">
        <v>282</v>
      </c>
      <c r="D22" s="540" t="s">
        <v>328</v>
      </c>
      <c r="E22" s="540" t="s">
        <v>389</v>
      </c>
      <c r="F22" s="540" t="s">
        <v>370</v>
      </c>
      <c r="G22" s="541">
        <v>-2000</v>
      </c>
      <c r="H22" s="542">
        <v>1</v>
      </c>
      <c r="I22" s="542">
        <v>2002</v>
      </c>
      <c r="J22" s="542">
        <v>2</v>
      </c>
      <c r="K22" s="540" t="s">
        <v>286</v>
      </c>
      <c r="L22" s="543">
        <v>37537</v>
      </c>
    </row>
    <row r="23" spans="1:12" ht="12.75">
      <c r="A23" s="540" t="s">
        <v>368</v>
      </c>
      <c r="B23" s="540" t="s">
        <v>351</v>
      </c>
      <c r="C23" s="540" t="s">
        <v>282</v>
      </c>
      <c r="D23" s="540" t="s">
        <v>328</v>
      </c>
      <c r="E23" s="540" t="s">
        <v>390</v>
      </c>
      <c r="F23" s="540" t="s">
        <v>370</v>
      </c>
      <c r="G23" s="541">
        <v>-48552</v>
      </c>
      <c r="H23" s="542">
        <v>1</v>
      </c>
      <c r="I23" s="542">
        <v>2002</v>
      </c>
      <c r="J23" s="542">
        <v>2</v>
      </c>
      <c r="K23" s="540" t="s">
        <v>286</v>
      </c>
      <c r="L23" s="543">
        <v>37537</v>
      </c>
    </row>
    <row r="24" spans="1:12" ht="12.75">
      <c r="A24" s="540" t="s">
        <v>368</v>
      </c>
      <c r="B24" s="540" t="s">
        <v>351</v>
      </c>
      <c r="C24" s="540" t="s">
        <v>282</v>
      </c>
      <c r="D24" s="540" t="s">
        <v>328</v>
      </c>
      <c r="E24" s="540" t="s">
        <v>390</v>
      </c>
      <c r="F24" s="540" t="s">
        <v>370</v>
      </c>
      <c r="G24" s="541">
        <v>-9820</v>
      </c>
      <c r="H24" s="542">
        <v>1</v>
      </c>
      <c r="I24" s="542">
        <v>2002</v>
      </c>
      <c r="J24" s="542">
        <v>2</v>
      </c>
      <c r="K24" s="540" t="s">
        <v>286</v>
      </c>
      <c r="L24" s="543">
        <v>37537</v>
      </c>
    </row>
    <row r="25" spans="1:12" ht="12.75">
      <c r="A25" s="540" t="s">
        <v>368</v>
      </c>
      <c r="B25" s="540" t="s">
        <v>351</v>
      </c>
      <c r="C25" s="540" t="s">
        <v>282</v>
      </c>
      <c r="D25" s="540" t="s">
        <v>328</v>
      </c>
      <c r="E25" s="540" t="s">
        <v>391</v>
      </c>
      <c r="F25" s="540" t="s">
        <v>370</v>
      </c>
      <c r="G25" s="541">
        <v>-22595</v>
      </c>
      <c r="H25" s="542">
        <v>1</v>
      </c>
      <c r="I25" s="542">
        <v>2002</v>
      </c>
      <c r="J25" s="542">
        <v>2</v>
      </c>
      <c r="K25" s="540" t="s">
        <v>286</v>
      </c>
      <c r="L25" s="543">
        <v>37537</v>
      </c>
    </row>
    <row r="26" spans="1:12" ht="12.75">
      <c r="A26" s="540" t="s">
        <v>368</v>
      </c>
      <c r="B26" s="540" t="s">
        <v>351</v>
      </c>
      <c r="C26" s="540" t="s">
        <v>282</v>
      </c>
      <c r="D26" s="540" t="s">
        <v>328</v>
      </c>
      <c r="E26" s="540" t="s">
        <v>391</v>
      </c>
      <c r="F26" s="540" t="s">
        <v>370</v>
      </c>
      <c r="G26" s="541">
        <v>-13500</v>
      </c>
      <c r="H26" s="542">
        <v>1</v>
      </c>
      <c r="I26" s="542">
        <v>2002</v>
      </c>
      <c r="J26" s="542">
        <v>2</v>
      </c>
      <c r="K26" s="540" t="s">
        <v>286</v>
      </c>
      <c r="L26" s="543">
        <v>37537</v>
      </c>
    </row>
    <row r="27" spans="1:12" ht="12.75">
      <c r="A27" s="540" t="s">
        <v>368</v>
      </c>
      <c r="B27" s="540" t="s">
        <v>351</v>
      </c>
      <c r="C27" s="540" t="s">
        <v>282</v>
      </c>
      <c r="D27" s="540" t="s">
        <v>328</v>
      </c>
      <c r="E27" s="540" t="s">
        <v>391</v>
      </c>
      <c r="F27" s="540" t="s">
        <v>370</v>
      </c>
      <c r="G27" s="541">
        <v>-6020</v>
      </c>
      <c r="H27" s="542">
        <v>1</v>
      </c>
      <c r="I27" s="542">
        <v>2002</v>
      </c>
      <c r="J27" s="542">
        <v>2</v>
      </c>
      <c r="K27" s="540" t="s">
        <v>286</v>
      </c>
      <c r="L27" s="543">
        <v>37537</v>
      </c>
    </row>
    <row r="28" spans="1:12" ht="12.75">
      <c r="A28" s="540" t="s">
        <v>368</v>
      </c>
      <c r="B28" s="540" t="s">
        <v>351</v>
      </c>
      <c r="C28" s="540" t="s">
        <v>282</v>
      </c>
      <c r="D28" s="540" t="s">
        <v>328</v>
      </c>
      <c r="E28" s="540" t="s">
        <v>392</v>
      </c>
      <c r="F28" s="540" t="s">
        <v>370</v>
      </c>
      <c r="G28" s="541">
        <v>-37796</v>
      </c>
      <c r="H28" s="542">
        <v>1</v>
      </c>
      <c r="I28" s="542">
        <v>2002</v>
      </c>
      <c r="J28" s="542">
        <v>2</v>
      </c>
      <c r="K28" s="540" t="s">
        <v>286</v>
      </c>
      <c r="L28" s="543">
        <v>37537</v>
      </c>
    </row>
    <row r="29" spans="1:12" ht="12.75">
      <c r="A29" s="540" t="s">
        <v>374</v>
      </c>
      <c r="B29" s="540" t="s">
        <v>327</v>
      </c>
      <c r="C29" s="540" t="s">
        <v>282</v>
      </c>
      <c r="D29" s="540" t="s">
        <v>328</v>
      </c>
      <c r="E29" s="540" t="s">
        <v>392</v>
      </c>
      <c r="F29" s="540" t="s">
        <v>375</v>
      </c>
      <c r="G29" s="541">
        <v>19500</v>
      </c>
      <c r="H29" s="542">
        <v>1</v>
      </c>
      <c r="I29" s="542">
        <v>2002</v>
      </c>
      <c r="J29" s="542">
        <v>2</v>
      </c>
      <c r="K29" s="540" t="s">
        <v>286</v>
      </c>
      <c r="L29" s="543">
        <v>37537</v>
      </c>
    </row>
    <row r="30" spans="1:12" ht="12.75">
      <c r="A30" s="540" t="s">
        <v>368</v>
      </c>
      <c r="B30" s="540" t="s">
        <v>351</v>
      </c>
      <c r="C30" s="540" t="s">
        <v>282</v>
      </c>
      <c r="D30" s="540" t="s">
        <v>328</v>
      </c>
      <c r="E30" s="540" t="s">
        <v>392</v>
      </c>
      <c r="F30" s="540" t="s">
        <v>370</v>
      </c>
      <c r="G30" s="541">
        <v>-20000</v>
      </c>
      <c r="H30" s="542">
        <v>1</v>
      </c>
      <c r="I30" s="542">
        <v>2002</v>
      </c>
      <c r="J30" s="542">
        <v>2</v>
      </c>
      <c r="K30" s="540" t="s">
        <v>286</v>
      </c>
      <c r="L30" s="543">
        <v>37537</v>
      </c>
    </row>
    <row r="31" spans="1:12" ht="12.75">
      <c r="A31" s="540" t="s">
        <v>368</v>
      </c>
      <c r="B31" s="540" t="s">
        <v>351</v>
      </c>
      <c r="C31" s="540" t="s">
        <v>282</v>
      </c>
      <c r="D31" s="540" t="s">
        <v>328</v>
      </c>
      <c r="E31" s="540" t="s">
        <v>393</v>
      </c>
      <c r="F31" s="540" t="s">
        <v>370</v>
      </c>
      <c r="G31" s="541">
        <v>-10298</v>
      </c>
      <c r="H31" s="542">
        <v>1</v>
      </c>
      <c r="I31" s="542">
        <v>2002</v>
      </c>
      <c r="J31" s="542">
        <v>2</v>
      </c>
      <c r="K31" s="540" t="s">
        <v>286</v>
      </c>
      <c r="L31" s="543">
        <v>37537</v>
      </c>
    </row>
    <row r="32" spans="1:12" ht="12.75">
      <c r="A32" s="540" t="s">
        <v>394</v>
      </c>
      <c r="B32" s="540" t="s">
        <v>281</v>
      </c>
      <c r="C32" s="540" t="s">
        <v>282</v>
      </c>
      <c r="D32" s="540" t="s">
        <v>283</v>
      </c>
      <c r="E32" s="540" t="s">
        <v>299</v>
      </c>
      <c r="F32" s="540" t="s">
        <v>395</v>
      </c>
      <c r="G32" s="541">
        <v>7000</v>
      </c>
      <c r="H32" s="542">
        <v>1</v>
      </c>
      <c r="I32" s="542">
        <v>2002</v>
      </c>
      <c r="J32" s="542">
        <v>2</v>
      </c>
      <c r="K32" s="540" t="s">
        <v>286</v>
      </c>
      <c r="L32" s="543">
        <v>37537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E57" sqref="E57"/>
    </sheetView>
  </sheetViews>
  <sheetFormatPr defaultColWidth="9.140625" defaultRowHeight="12.75"/>
  <cols>
    <col min="1" max="1" width="16.57421875" style="0" bestFit="1" customWidth="1"/>
    <col min="2" max="2" width="12.28125" style="0" customWidth="1"/>
    <col min="3" max="3" width="8.140625" style="0" bestFit="1" customWidth="1"/>
    <col min="4" max="4" width="6.00390625" style="0" bestFit="1" customWidth="1"/>
    <col min="5" max="5" width="9.7109375" style="0" bestFit="1" customWidth="1"/>
    <col min="6" max="6" width="11.28125" style="0" bestFit="1" customWidth="1"/>
    <col min="7" max="7" width="13.28125" style="0" bestFit="1" customWidth="1"/>
    <col min="8" max="8" width="17.00390625" style="0" bestFit="1" customWidth="1"/>
    <col min="9" max="9" width="5.00390625" style="0" bestFit="1" customWidth="1"/>
    <col min="10" max="10" width="15.28125" style="0" bestFit="1" customWidth="1"/>
    <col min="11" max="11" width="15.57421875" style="0" bestFit="1" customWidth="1"/>
    <col min="12" max="12" width="9.421875" style="0" bestFit="1" customWidth="1"/>
  </cols>
  <sheetData>
    <row r="1" spans="1:12" ht="12.75">
      <c r="A1" s="538" t="s">
        <v>269</v>
      </c>
      <c r="B1" s="538" t="s">
        <v>270</v>
      </c>
      <c r="C1" s="538" t="s">
        <v>271</v>
      </c>
      <c r="D1" s="538" t="s">
        <v>272</v>
      </c>
      <c r="E1" s="538" t="s">
        <v>273</v>
      </c>
      <c r="F1" s="538" t="s">
        <v>274</v>
      </c>
      <c r="G1" s="538" t="s">
        <v>275</v>
      </c>
      <c r="H1" s="538" t="s">
        <v>276</v>
      </c>
      <c r="I1" s="538" t="s">
        <v>277</v>
      </c>
      <c r="J1" s="538" t="s">
        <v>367</v>
      </c>
      <c r="K1" s="538" t="s">
        <v>278</v>
      </c>
      <c r="L1" s="538" t="s">
        <v>279</v>
      </c>
    </row>
    <row r="2" spans="1:12" ht="12.75">
      <c r="A2" s="540" t="s">
        <v>297</v>
      </c>
      <c r="B2" s="540" t="s">
        <v>298</v>
      </c>
      <c r="C2" s="540" t="s">
        <v>282</v>
      </c>
      <c r="D2" s="540" t="s">
        <v>301</v>
      </c>
      <c r="E2" s="540" t="s">
        <v>302</v>
      </c>
      <c r="F2" s="540" t="s">
        <v>300</v>
      </c>
      <c r="G2" s="541">
        <v>500000</v>
      </c>
      <c r="H2" s="542">
        <v>4</v>
      </c>
      <c r="I2" s="542">
        <v>2002</v>
      </c>
      <c r="J2" s="542">
        <v>1</v>
      </c>
      <c r="K2" s="540" t="s">
        <v>286</v>
      </c>
      <c r="L2" s="543">
        <v>37537</v>
      </c>
    </row>
    <row r="3" spans="1:12" ht="12.75">
      <c r="A3" s="540" t="s">
        <v>320</v>
      </c>
      <c r="B3" s="540" t="s">
        <v>321</v>
      </c>
      <c r="C3" s="540" t="s">
        <v>282</v>
      </c>
      <c r="D3" s="540" t="s">
        <v>322</v>
      </c>
      <c r="E3" s="540" t="s">
        <v>323</v>
      </c>
      <c r="F3" s="540" t="s">
        <v>285</v>
      </c>
      <c r="G3" s="541">
        <v>-120000</v>
      </c>
      <c r="H3" s="542">
        <v>4</v>
      </c>
      <c r="I3" s="542">
        <v>2002</v>
      </c>
      <c r="J3" s="542">
        <v>1</v>
      </c>
      <c r="K3" s="540" t="s">
        <v>286</v>
      </c>
      <c r="L3" s="543">
        <v>37537</v>
      </c>
    </row>
    <row r="4" spans="1:12" ht="12.75">
      <c r="A4" s="540" t="s">
        <v>348</v>
      </c>
      <c r="B4" s="540" t="s">
        <v>349</v>
      </c>
      <c r="C4" s="540" t="s">
        <v>282</v>
      </c>
      <c r="D4" s="540" t="s">
        <v>322</v>
      </c>
      <c r="E4" s="540" t="s">
        <v>323</v>
      </c>
      <c r="F4" s="540" t="s">
        <v>285</v>
      </c>
      <c r="G4" s="541">
        <v>120000</v>
      </c>
      <c r="H4" s="542">
        <v>4</v>
      </c>
      <c r="I4" s="542">
        <v>2002</v>
      </c>
      <c r="J4" s="542">
        <v>1</v>
      </c>
      <c r="K4" s="540" t="s">
        <v>286</v>
      </c>
      <c r="L4" s="543">
        <v>37537</v>
      </c>
    </row>
    <row r="5" spans="1:12" ht="12.75">
      <c r="A5" s="540" t="s">
        <v>318</v>
      </c>
      <c r="B5" s="540" t="s">
        <v>313</v>
      </c>
      <c r="C5" s="540" t="s">
        <v>282</v>
      </c>
      <c r="D5" s="540" t="s">
        <v>314</v>
      </c>
      <c r="E5" s="540" t="s">
        <v>315</v>
      </c>
      <c r="F5" s="540" t="s">
        <v>285</v>
      </c>
      <c r="G5" s="541">
        <v>60000</v>
      </c>
      <c r="H5" s="542">
        <v>4</v>
      </c>
      <c r="I5" s="542">
        <v>2002</v>
      </c>
      <c r="J5" s="542">
        <v>2</v>
      </c>
      <c r="K5" s="540" t="s">
        <v>286</v>
      </c>
      <c r="L5" s="543">
        <v>37537</v>
      </c>
    </row>
    <row r="6" spans="1:12" ht="12.75">
      <c r="A6" s="540" t="s">
        <v>319</v>
      </c>
      <c r="B6" s="540" t="s">
        <v>313</v>
      </c>
      <c r="C6" s="540" t="s">
        <v>282</v>
      </c>
      <c r="D6" s="540" t="s">
        <v>314</v>
      </c>
      <c r="E6" s="540" t="s">
        <v>315</v>
      </c>
      <c r="F6" s="540" t="s">
        <v>285</v>
      </c>
      <c r="G6" s="541">
        <v>300000</v>
      </c>
      <c r="H6" s="542">
        <v>4</v>
      </c>
      <c r="I6" s="542">
        <v>2002</v>
      </c>
      <c r="J6" s="542">
        <v>2</v>
      </c>
      <c r="K6" s="540" t="s">
        <v>286</v>
      </c>
      <c r="L6" s="543">
        <v>37537</v>
      </c>
    </row>
    <row r="7" spans="1:12" ht="12.75">
      <c r="A7" s="540" t="s">
        <v>312</v>
      </c>
      <c r="B7" s="540" t="s">
        <v>313</v>
      </c>
      <c r="C7" s="540" t="s">
        <v>282</v>
      </c>
      <c r="D7" s="540" t="s">
        <v>314</v>
      </c>
      <c r="E7" s="540" t="s">
        <v>315</v>
      </c>
      <c r="F7" s="540" t="s">
        <v>285</v>
      </c>
      <c r="G7" s="541">
        <v>-300000</v>
      </c>
      <c r="H7" s="542">
        <v>4</v>
      </c>
      <c r="I7" s="542">
        <v>2002</v>
      </c>
      <c r="J7" s="542">
        <v>2</v>
      </c>
      <c r="K7" s="540" t="s">
        <v>286</v>
      </c>
      <c r="L7" s="543">
        <v>37537</v>
      </c>
    </row>
    <row r="8" spans="1:12" ht="12.75">
      <c r="A8" s="540" t="s">
        <v>316</v>
      </c>
      <c r="B8" s="540" t="s">
        <v>313</v>
      </c>
      <c r="C8" s="540" t="s">
        <v>282</v>
      </c>
      <c r="D8" s="540" t="s">
        <v>314</v>
      </c>
      <c r="E8" s="540" t="s">
        <v>317</v>
      </c>
      <c r="F8" s="540" t="s">
        <v>285</v>
      </c>
      <c r="G8" s="541">
        <v>300000</v>
      </c>
      <c r="H8" s="542">
        <v>4</v>
      </c>
      <c r="I8" s="542">
        <v>2002</v>
      </c>
      <c r="J8" s="542">
        <v>2</v>
      </c>
      <c r="K8" s="540" t="s">
        <v>286</v>
      </c>
      <c r="L8" s="543">
        <v>37537</v>
      </c>
    </row>
    <row r="9" spans="1:12" ht="12.75">
      <c r="A9" s="540" t="s">
        <v>336</v>
      </c>
      <c r="B9" s="540" t="s">
        <v>327</v>
      </c>
      <c r="C9" s="540" t="s">
        <v>282</v>
      </c>
      <c r="D9" s="540" t="s">
        <v>331</v>
      </c>
      <c r="E9" s="540" t="s">
        <v>334</v>
      </c>
      <c r="F9" s="540" t="s">
        <v>337</v>
      </c>
      <c r="G9" s="541">
        <v>-110000</v>
      </c>
      <c r="H9" s="542">
        <v>4</v>
      </c>
      <c r="I9" s="542">
        <v>2002</v>
      </c>
      <c r="J9" s="542">
        <v>1</v>
      </c>
      <c r="K9" s="540" t="s">
        <v>286</v>
      </c>
      <c r="L9" s="543">
        <v>37537</v>
      </c>
    </row>
    <row r="10" spans="1:12" ht="12.75">
      <c r="A10" s="540" t="s">
        <v>335</v>
      </c>
      <c r="B10" s="540" t="s">
        <v>327</v>
      </c>
      <c r="C10" s="540" t="s">
        <v>282</v>
      </c>
      <c r="D10" s="540" t="s">
        <v>331</v>
      </c>
      <c r="E10" s="540" t="s">
        <v>334</v>
      </c>
      <c r="F10" s="540" t="s">
        <v>285</v>
      </c>
      <c r="G10" s="541">
        <v>-580000</v>
      </c>
      <c r="H10" s="542">
        <v>4</v>
      </c>
      <c r="I10" s="542">
        <v>2002</v>
      </c>
      <c r="J10" s="542">
        <v>1</v>
      </c>
      <c r="K10" s="540" t="s">
        <v>286</v>
      </c>
      <c r="L10" s="543">
        <v>37537</v>
      </c>
    </row>
    <row r="11" spans="1:12" ht="12.75">
      <c r="A11" s="540" t="s">
        <v>333</v>
      </c>
      <c r="B11" s="540" t="s">
        <v>327</v>
      </c>
      <c r="C11" s="540" t="s">
        <v>282</v>
      </c>
      <c r="D11" s="540" t="s">
        <v>331</v>
      </c>
      <c r="E11" s="540" t="s">
        <v>334</v>
      </c>
      <c r="F11" s="540" t="s">
        <v>285</v>
      </c>
      <c r="G11" s="541">
        <v>-230000</v>
      </c>
      <c r="H11" s="542">
        <v>4</v>
      </c>
      <c r="I11" s="542">
        <v>2002</v>
      </c>
      <c r="J11" s="542">
        <v>1</v>
      </c>
      <c r="K11" s="540" t="s">
        <v>286</v>
      </c>
      <c r="L11" s="543">
        <v>37537</v>
      </c>
    </row>
    <row r="12" spans="1:12" ht="12.75">
      <c r="A12" s="540" t="s">
        <v>330</v>
      </c>
      <c r="B12" s="540" t="s">
        <v>327</v>
      </c>
      <c r="C12" s="540" t="s">
        <v>282</v>
      </c>
      <c r="D12" s="540" t="s">
        <v>331</v>
      </c>
      <c r="E12" s="540" t="s">
        <v>332</v>
      </c>
      <c r="F12" s="540" t="s">
        <v>285</v>
      </c>
      <c r="G12" s="541">
        <v>-178000</v>
      </c>
      <c r="H12" s="542">
        <v>4</v>
      </c>
      <c r="I12" s="542">
        <v>2002</v>
      </c>
      <c r="J12" s="542">
        <v>1</v>
      </c>
      <c r="K12" s="540" t="s">
        <v>286</v>
      </c>
      <c r="L12" s="543">
        <v>37537</v>
      </c>
    </row>
    <row r="13" spans="1:12" ht="12.75">
      <c r="A13" s="540" t="s">
        <v>338</v>
      </c>
      <c r="B13" s="540" t="s">
        <v>327</v>
      </c>
      <c r="C13" s="540" t="s">
        <v>282</v>
      </c>
      <c r="D13" s="540" t="s">
        <v>331</v>
      </c>
      <c r="E13" s="540" t="s">
        <v>339</v>
      </c>
      <c r="F13" s="540" t="s">
        <v>285</v>
      </c>
      <c r="G13" s="541">
        <v>-90000</v>
      </c>
      <c r="H13" s="542">
        <v>4</v>
      </c>
      <c r="I13" s="542">
        <v>2002</v>
      </c>
      <c r="J13" s="542">
        <v>2</v>
      </c>
      <c r="K13" s="540" t="s">
        <v>286</v>
      </c>
      <c r="L13" s="543">
        <v>37537</v>
      </c>
    </row>
    <row r="14" spans="1:12" ht="12.75">
      <c r="A14" s="540" t="s">
        <v>360</v>
      </c>
      <c r="B14" s="540" t="s">
        <v>355</v>
      </c>
      <c r="C14" s="540" t="s">
        <v>282</v>
      </c>
      <c r="D14" s="540" t="s">
        <v>361</v>
      </c>
      <c r="E14" s="540" t="s">
        <v>362</v>
      </c>
      <c r="F14" s="540" t="s">
        <v>356</v>
      </c>
      <c r="G14" s="541">
        <v>150000</v>
      </c>
      <c r="H14" s="542">
        <v>4</v>
      </c>
      <c r="I14" s="542">
        <v>2002</v>
      </c>
      <c r="J14" s="542">
        <v>1</v>
      </c>
      <c r="K14" s="540" t="s">
        <v>286</v>
      </c>
      <c r="L14" s="543">
        <v>37537</v>
      </c>
    </row>
    <row r="15" spans="1:12" ht="12.75">
      <c r="A15" s="540" t="s">
        <v>288</v>
      </c>
      <c r="B15" s="540" t="s">
        <v>281</v>
      </c>
      <c r="C15" s="540" t="s">
        <v>282</v>
      </c>
      <c r="D15" s="540" t="s">
        <v>289</v>
      </c>
      <c r="E15" s="540" t="s">
        <v>290</v>
      </c>
      <c r="F15" s="540" t="s">
        <v>285</v>
      </c>
      <c r="G15" s="541">
        <v>-32814000</v>
      </c>
      <c r="H15" s="542">
        <v>4</v>
      </c>
      <c r="I15" s="542">
        <v>2002</v>
      </c>
      <c r="J15" s="542">
        <v>2</v>
      </c>
      <c r="K15" s="540" t="s">
        <v>286</v>
      </c>
      <c r="L15" s="543">
        <v>37537</v>
      </c>
    </row>
    <row r="16" spans="1:12" ht="12.75">
      <c r="A16" s="540" t="s">
        <v>357</v>
      </c>
      <c r="B16" s="540" t="s">
        <v>355</v>
      </c>
      <c r="C16" s="540" t="s">
        <v>282</v>
      </c>
      <c r="D16" s="540" t="s">
        <v>289</v>
      </c>
      <c r="E16" s="540" t="s">
        <v>290</v>
      </c>
      <c r="F16" s="540" t="s">
        <v>356</v>
      </c>
      <c r="G16" s="541">
        <v>124043</v>
      </c>
      <c r="H16" s="542">
        <v>4</v>
      </c>
      <c r="I16" s="542">
        <v>2002</v>
      </c>
      <c r="J16" s="542">
        <v>1</v>
      </c>
      <c r="K16" s="540" t="s">
        <v>286</v>
      </c>
      <c r="L16" s="543">
        <v>37537</v>
      </c>
    </row>
    <row r="17" spans="1:12" ht="12.75">
      <c r="A17" s="540" t="s">
        <v>354</v>
      </c>
      <c r="B17" s="540" t="s">
        <v>355</v>
      </c>
      <c r="C17" s="540" t="s">
        <v>282</v>
      </c>
      <c r="D17" s="540" t="s">
        <v>289</v>
      </c>
      <c r="E17" s="540" t="s">
        <v>290</v>
      </c>
      <c r="F17" s="540" t="s">
        <v>356</v>
      </c>
      <c r="G17" s="541">
        <v>351037</v>
      </c>
      <c r="H17" s="542">
        <v>4</v>
      </c>
      <c r="I17" s="542">
        <v>2002</v>
      </c>
      <c r="J17" s="542">
        <v>1</v>
      </c>
      <c r="K17" s="540" t="s">
        <v>286</v>
      </c>
      <c r="L17" s="543">
        <v>37537</v>
      </c>
    </row>
    <row r="18" spans="1:12" ht="12.75">
      <c r="A18" s="540" t="s">
        <v>365</v>
      </c>
      <c r="B18" s="540" t="s">
        <v>355</v>
      </c>
      <c r="C18" s="540" t="s">
        <v>282</v>
      </c>
      <c r="D18" s="540" t="s">
        <v>289</v>
      </c>
      <c r="E18" s="540" t="s">
        <v>366</v>
      </c>
      <c r="F18" s="540" t="s">
        <v>356</v>
      </c>
      <c r="G18" s="541">
        <v>63055</v>
      </c>
      <c r="H18" s="542">
        <v>4</v>
      </c>
      <c r="I18" s="542">
        <v>2002</v>
      </c>
      <c r="J18" s="542">
        <v>2</v>
      </c>
      <c r="K18" s="540" t="s">
        <v>286</v>
      </c>
      <c r="L18" s="543">
        <v>37537</v>
      </c>
    </row>
    <row r="19" spans="1:12" ht="12.75">
      <c r="A19" s="540" t="s">
        <v>363</v>
      </c>
      <c r="B19" s="540" t="s">
        <v>355</v>
      </c>
      <c r="C19" s="540" t="s">
        <v>282</v>
      </c>
      <c r="D19" s="540" t="s">
        <v>289</v>
      </c>
      <c r="E19" s="540" t="s">
        <v>364</v>
      </c>
      <c r="F19" s="540" t="s">
        <v>356</v>
      </c>
      <c r="G19" s="541">
        <v>31011</v>
      </c>
      <c r="H19" s="542">
        <v>4</v>
      </c>
      <c r="I19" s="542">
        <v>2002</v>
      </c>
      <c r="J19" s="542">
        <v>1</v>
      </c>
      <c r="K19" s="540" t="s">
        <v>286</v>
      </c>
      <c r="L19" s="543">
        <v>37537</v>
      </c>
    </row>
    <row r="20" spans="1:12" ht="12.75">
      <c r="A20" s="540" t="s">
        <v>358</v>
      </c>
      <c r="B20" s="540" t="s">
        <v>355</v>
      </c>
      <c r="C20" s="540" t="s">
        <v>282</v>
      </c>
      <c r="D20" s="540" t="s">
        <v>289</v>
      </c>
      <c r="E20" s="540" t="s">
        <v>359</v>
      </c>
      <c r="F20" s="540" t="s">
        <v>356</v>
      </c>
      <c r="G20" s="541">
        <v>20700</v>
      </c>
      <c r="H20" s="542">
        <v>4</v>
      </c>
      <c r="I20" s="542">
        <v>2002</v>
      </c>
      <c r="J20" s="542">
        <v>1</v>
      </c>
      <c r="K20" s="540" t="s">
        <v>286</v>
      </c>
      <c r="L20" s="543">
        <v>37537</v>
      </c>
    </row>
    <row r="21" spans="1:12" ht="12.75">
      <c r="A21" s="540" t="s">
        <v>326</v>
      </c>
      <c r="B21" s="540" t="s">
        <v>327</v>
      </c>
      <c r="C21" s="540" t="s">
        <v>282</v>
      </c>
      <c r="D21" s="540" t="s">
        <v>328</v>
      </c>
      <c r="E21" s="540" t="s">
        <v>329</v>
      </c>
      <c r="F21" s="540" t="s">
        <v>285</v>
      </c>
      <c r="G21" s="541">
        <v>-1951700</v>
      </c>
      <c r="H21" s="542">
        <v>4</v>
      </c>
      <c r="I21" s="542">
        <v>2002</v>
      </c>
      <c r="J21" s="542">
        <v>1</v>
      </c>
      <c r="K21" s="540" t="s">
        <v>286</v>
      </c>
      <c r="L21" s="543">
        <v>37537</v>
      </c>
    </row>
    <row r="22" spans="1:12" ht="12.75">
      <c r="A22" s="540" t="s">
        <v>350</v>
      </c>
      <c r="B22" s="540" t="s">
        <v>351</v>
      </c>
      <c r="C22" s="540" t="s">
        <v>282</v>
      </c>
      <c r="D22" s="540" t="s">
        <v>328</v>
      </c>
      <c r="E22" s="540" t="s">
        <v>329</v>
      </c>
      <c r="F22" s="540" t="s">
        <v>352</v>
      </c>
      <c r="G22" s="541">
        <v>-85000</v>
      </c>
      <c r="H22" s="542">
        <v>4</v>
      </c>
      <c r="I22" s="542">
        <v>2002</v>
      </c>
      <c r="J22" s="542">
        <v>1</v>
      </c>
      <c r="K22" s="540" t="s">
        <v>286</v>
      </c>
      <c r="L22" s="543">
        <v>37537</v>
      </c>
    </row>
    <row r="23" spans="1:12" ht="12.75">
      <c r="A23" s="540" t="s">
        <v>287</v>
      </c>
      <c r="B23" s="540" t="s">
        <v>281</v>
      </c>
      <c r="C23" s="540" t="s">
        <v>282</v>
      </c>
      <c r="D23" s="540" t="s">
        <v>283</v>
      </c>
      <c r="E23" s="540" t="s">
        <v>284</v>
      </c>
      <c r="F23" s="540" t="s">
        <v>285</v>
      </c>
      <c r="G23" s="541">
        <v>-350000</v>
      </c>
      <c r="H23" s="542">
        <v>4</v>
      </c>
      <c r="I23" s="542">
        <v>2002</v>
      </c>
      <c r="J23" s="542">
        <v>1</v>
      </c>
      <c r="K23" s="540" t="s">
        <v>286</v>
      </c>
      <c r="L23" s="543">
        <v>37537</v>
      </c>
    </row>
    <row r="24" spans="1:12" ht="12.75">
      <c r="A24" s="540" t="s">
        <v>280</v>
      </c>
      <c r="B24" s="540" t="s">
        <v>281</v>
      </c>
      <c r="C24" s="540" t="s">
        <v>282</v>
      </c>
      <c r="D24" s="540" t="s">
        <v>283</v>
      </c>
      <c r="E24" s="540" t="s">
        <v>284</v>
      </c>
      <c r="F24" s="540" t="s">
        <v>285</v>
      </c>
      <c r="G24" s="541">
        <v>579000</v>
      </c>
      <c r="H24" s="542">
        <v>4</v>
      </c>
      <c r="I24" s="542">
        <v>2002</v>
      </c>
      <c r="J24" s="542">
        <v>1</v>
      </c>
      <c r="K24" s="540" t="s">
        <v>286</v>
      </c>
      <c r="L24" s="543">
        <v>37537</v>
      </c>
    </row>
    <row r="25" spans="1:12" ht="12.75">
      <c r="A25" s="540" t="s">
        <v>324</v>
      </c>
      <c r="B25" s="540" t="s">
        <v>325</v>
      </c>
      <c r="C25" s="540" t="s">
        <v>282</v>
      </c>
      <c r="D25" s="540" t="s">
        <v>283</v>
      </c>
      <c r="E25" s="540" t="s">
        <v>284</v>
      </c>
      <c r="F25" s="540" t="s">
        <v>307</v>
      </c>
      <c r="G25" s="541">
        <v>995000</v>
      </c>
      <c r="H25" s="542">
        <v>4</v>
      </c>
      <c r="I25" s="542">
        <v>2002</v>
      </c>
      <c r="J25" s="542">
        <v>1</v>
      </c>
      <c r="K25" s="540" t="s">
        <v>286</v>
      </c>
      <c r="L25" s="543">
        <v>37537</v>
      </c>
    </row>
    <row r="26" spans="1:12" ht="12.75">
      <c r="A26" s="540" t="s">
        <v>297</v>
      </c>
      <c r="B26" s="540" t="s">
        <v>298</v>
      </c>
      <c r="C26" s="540" t="s">
        <v>282</v>
      </c>
      <c r="D26" s="540" t="s">
        <v>283</v>
      </c>
      <c r="E26" s="540" t="s">
        <v>299</v>
      </c>
      <c r="F26" s="540" t="s">
        <v>300</v>
      </c>
      <c r="G26" s="541">
        <v>50000</v>
      </c>
      <c r="H26" s="542">
        <v>4</v>
      </c>
      <c r="I26" s="542">
        <v>2002</v>
      </c>
      <c r="J26" s="542">
        <v>1</v>
      </c>
      <c r="K26" s="540" t="s">
        <v>286</v>
      </c>
      <c r="L26" s="543">
        <v>37537</v>
      </c>
    </row>
    <row r="27" spans="1:12" ht="12.75">
      <c r="A27" s="540" t="s">
        <v>310</v>
      </c>
      <c r="B27" s="540" t="s">
        <v>304</v>
      </c>
      <c r="C27" s="540" t="s">
        <v>282</v>
      </c>
      <c r="D27" s="540" t="s">
        <v>305</v>
      </c>
      <c r="E27" s="540" t="s">
        <v>306</v>
      </c>
      <c r="F27" s="540" t="s">
        <v>311</v>
      </c>
      <c r="G27" s="541">
        <v>-157000</v>
      </c>
      <c r="H27" s="542">
        <v>4</v>
      </c>
      <c r="I27" s="542">
        <v>2002</v>
      </c>
      <c r="J27" s="542">
        <v>1</v>
      </c>
      <c r="K27" s="540" t="s">
        <v>286</v>
      </c>
      <c r="L27" s="543">
        <v>37537</v>
      </c>
    </row>
    <row r="28" spans="1:12" ht="12.75">
      <c r="A28" s="540" t="s">
        <v>308</v>
      </c>
      <c r="B28" s="540" t="s">
        <v>304</v>
      </c>
      <c r="C28" s="540" t="s">
        <v>282</v>
      </c>
      <c r="D28" s="540" t="s">
        <v>305</v>
      </c>
      <c r="E28" s="540" t="s">
        <v>306</v>
      </c>
      <c r="F28" s="540" t="s">
        <v>309</v>
      </c>
      <c r="G28" s="541">
        <v>15000</v>
      </c>
      <c r="H28" s="542">
        <v>4</v>
      </c>
      <c r="I28" s="542">
        <v>2002</v>
      </c>
      <c r="J28" s="542">
        <v>1</v>
      </c>
      <c r="K28" s="540" t="s">
        <v>286</v>
      </c>
      <c r="L28" s="543">
        <v>37537</v>
      </c>
    </row>
    <row r="29" spans="1:12" ht="12.75">
      <c r="A29" s="540" t="s">
        <v>303</v>
      </c>
      <c r="B29" s="540" t="s">
        <v>304</v>
      </c>
      <c r="C29" s="540" t="s">
        <v>282</v>
      </c>
      <c r="D29" s="540" t="s">
        <v>305</v>
      </c>
      <c r="E29" s="540" t="s">
        <v>306</v>
      </c>
      <c r="F29" s="540" t="s">
        <v>307</v>
      </c>
      <c r="G29" s="541">
        <v>25000</v>
      </c>
      <c r="H29" s="542">
        <v>4</v>
      </c>
      <c r="I29" s="542">
        <v>2002</v>
      </c>
      <c r="J29" s="542">
        <v>1</v>
      </c>
      <c r="K29" s="540" t="s">
        <v>286</v>
      </c>
      <c r="L29" s="543">
        <v>37537</v>
      </c>
    </row>
    <row r="30" spans="1:12" ht="12.75">
      <c r="A30" s="540" t="s">
        <v>291</v>
      </c>
      <c r="B30" s="540" t="s">
        <v>292</v>
      </c>
      <c r="C30" s="540" t="s">
        <v>282</v>
      </c>
      <c r="D30" s="540" t="s">
        <v>293</v>
      </c>
      <c r="E30" s="540" t="s">
        <v>294</v>
      </c>
      <c r="F30" s="540" t="s">
        <v>295</v>
      </c>
      <c r="G30" s="541">
        <v>200000</v>
      </c>
      <c r="H30" s="542">
        <v>4</v>
      </c>
      <c r="I30" s="542">
        <v>2002</v>
      </c>
      <c r="J30" s="542">
        <v>1</v>
      </c>
      <c r="K30" s="540" t="s">
        <v>286</v>
      </c>
      <c r="L30" s="543">
        <v>37537</v>
      </c>
    </row>
    <row r="31" spans="1:12" ht="12.75">
      <c r="A31" s="540" t="s">
        <v>296</v>
      </c>
      <c r="B31" s="540" t="s">
        <v>292</v>
      </c>
      <c r="C31" s="540" t="s">
        <v>282</v>
      </c>
      <c r="D31" s="540" t="s">
        <v>293</v>
      </c>
      <c r="E31" s="540" t="s">
        <v>294</v>
      </c>
      <c r="F31" s="540" t="s">
        <v>295</v>
      </c>
      <c r="G31" s="541">
        <v>1500000</v>
      </c>
      <c r="H31" s="542">
        <v>4</v>
      </c>
      <c r="I31" s="542">
        <v>2002</v>
      </c>
      <c r="J31" s="542">
        <v>1</v>
      </c>
      <c r="K31" s="540" t="s">
        <v>286</v>
      </c>
      <c r="L31" s="543">
        <v>37537</v>
      </c>
    </row>
    <row r="32" spans="1:12" ht="12.75">
      <c r="A32" s="540" t="s">
        <v>343</v>
      </c>
      <c r="B32" s="540" t="s">
        <v>344</v>
      </c>
      <c r="C32" s="540" t="s">
        <v>282</v>
      </c>
      <c r="D32" s="540" t="s">
        <v>293</v>
      </c>
      <c r="E32" s="540" t="s">
        <v>294</v>
      </c>
      <c r="F32" s="540" t="s">
        <v>342</v>
      </c>
      <c r="G32" s="541">
        <v>69000</v>
      </c>
      <c r="H32" s="542">
        <v>4</v>
      </c>
      <c r="I32" s="542">
        <v>2002</v>
      </c>
      <c r="J32" s="542">
        <v>1</v>
      </c>
      <c r="K32" s="540" t="s">
        <v>286</v>
      </c>
      <c r="L32" s="543">
        <v>37537</v>
      </c>
    </row>
    <row r="33" spans="1:12" ht="12.75">
      <c r="A33" s="540" t="s">
        <v>345</v>
      </c>
      <c r="B33" s="540" t="s">
        <v>344</v>
      </c>
      <c r="C33" s="540" t="s">
        <v>282</v>
      </c>
      <c r="D33" s="540" t="s">
        <v>293</v>
      </c>
      <c r="E33" s="540" t="s">
        <v>294</v>
      </c>
      <c r="F33" s="540" t="s">
        <v>342</v>
      </c>
      <c r="G33" s="541">
        <v>-118000</v>
      </c>
      <c r="H33" s="542">
        <v>4</v>
      </c>
      <c r="I33" s="542">
        <v>2002</v>
      </c>
      <c r="J33" s="542">
        <v>1</v>
      </c>
      <c r="K33" s="540" t="s">
        <v>286</v>
      </c>
      <c r="L33" s="543">
        <v>37537</v>
      </c>
    </row>
    <row r="34" spans="1:12" ht="12.75">
      <c r="A34" s="540" t="s">
        <v>346</v>
      </c>
      <c r="B34" s="540" t="s">
        <v>347</v>
      </c>
      <c r="C34" s="540" t="s">
        <v>282</v>
      </c>
      <c r="D34" s="540" t="s">
        <v>293</v>
      </c>
      <c r="E34" s="540" t="s">
        <v>294</v>
      </c>
      <c r="F34" s="540" t="s">
        <v>342</v>
      </c>
      <c r="G34" s="541">
        <v>244000</v>
      </c>
      <c r="H34" s="542">
        <v>4</v>
      </c>
      <c r="I34" s="542">
        <v>2002</v>
      </c>
      <c r="J34" s="542">
        <v>1</v>
      </c>
      <c r="K34" s="540" t="s">
        <v>286</v>
      </c>
      <c r="L34" s="543">
        <v>37537</v>
      </c>
    </row>
    <row r="35" spans="1:12" ht="12.75">
      <c r="A35" s="540" t="s">
        <v>340</v>
      </c>
      <c r="B35" s="540" t="s">
        <v>341</v>
      </c>
      <c r="C35" s="540" t="s">
        <v>282</v>
      </c>
      <c r="D35" s="540" t="s">
        <v>293</v>
      </c>
      <c r="E35" s="540" t="s">
        <v>294</v>
      </c>
      <c r="F35" s="540" t="s">
        <v>342</v>
      </c>
      <c r="G35" s="541">
        <v>-69000</v>
      </c>
      <c r="H35" s="542">
        <v>4</v>
      </c>
      <c r="I35" s="542">
        <v>2002</v>
      </c>
      <c r="J35" s="542">
        <v>1</v>
      </c>
      <c r="K35" s="540" t="s">
        <v>286</v>
      </c>
      <c r="L35" s="543">
        <v>37537</v>
      </c>
    </row>
    <row r="36" spans="1:12" ht="12.75">
      <c r="A36" s="540" t="s">
        <v>353</v>
      </c>
      <c r="B36" s="540" t="s">
        <v>351</v>
      </c>
      <c r="C36" s="540" t="s">
        <v>282</v>
      </c>
      <c r="D36" s="540" t="s">
        <v>293</v>
      </c>
      <c r="E36" s="540" t="s">
        <v>294</v>
      </c>
      <c r="F36" s="540" t="s">
        <v>352</v>
      </c>
      <c r="G36" s="541">
        <v>-1500000</v>
      </c>
      <c r="H36" s="542">
        <v>4</v>
      </c>
      <c r="I36" s="542">
        <v>2002</v>
      </c>
      <c r="J36" s="542">
        <v>1</v>
      </c>
      <c r="K36" s="540" t="s">
        <v>286</v>
      </c>
      <c r="L36" s="543">
        <v>37537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2" sqref="G2:G3"/>
    </sheetView>
  </sheetViews>
  <sheetFormatPr defaultColWidth="9.140625" defaultRowHeight="12.75"/>
  <cols>
    <col min="1" max="1" width="16.57421875" style="0" bestFit="1" customWidth="1"/>
    <col min="2" max="2" width="5.00390625" style="0" bestFit="1" customWidth="1"/>
    <col min="3" max="3" width="8.140625" style="0" bestFit="1" customWidth="1"/>
    <col min="4" max="4" width="6.00390625" style="0" bestFit="1" customWidth="1"/>
    <col min="5" max="5" width="9.7109375" style="0" bestFit="1" customWidth="1"/>
    <col min="6" max="6" width="11.28125" style="0" bestFit="1" customWidth="1"/>
    <col min="7" max="7" width="10.140625" style="0" bestFit="1" customWidth="1"/>
    <col min="8" max="8" width="5.00390625" style="0" bestFit="1" customWidth="1"/>
    <col min="9" max="9" width="15.28125" style="0" bestFit="1" customWidth="1"/>
    <col min="10" max="10" width="15.57421875" style="0" bestFit="1" customWidth="1"/>
    <col min="11" max="11" width="9.421875" style="0" bestFit="1" customWidth="1"/>
  </cols>
  <sheetData>
    <row r="1" spans="1:11" ht="12.75">
      <c r="A1" s="538" t="s">
        <v>269</v>
      </c>
      <c r="B1" s="538" t="s">
        <v>270</v>
      </c>
      <c r="C1" s="538" t="s">
        <v>271</v>
      </c>
      <c r="D1" s="538" t="s">
        <v>272</v>
      </c>
      <c r="E1" s="538" t="s">
        <v>273</v>
      </c>
      <c r="F1" s="538" t="s">
        <v>274</v>
      </c>
      <c r="G1" s="538" t="s">
        <v>275</v>
      </c>
      <c r="H1" s="538" t="s">
        <v>277</v>
      </c>
      <c r="I1" s="538" t="s">
        <v>367</v>
      </c>
      <c r="J1" s="538" t="s">
        <v>278</v>
      </c>
      <c r="K1" s="538" t="s">
        <v>279</v>
      </c>
    </row>
    <row r="2" spans="1:11" ht="12.75">
      <c r="A2" s="540" t="s">
        <v>396</v>
      </c>
      <c r="B2" s="540" t="s">
        <v>321</v>
      </c>
      <c r="C2" s="540" t="s">
        <v>282</v>
      </c>
      <c r="D2" s="540" t="s">
        <v>397</v>
      </c>
      <c r="E2" s="540" t="s">
        <v>398</v>
      </c>
      <c r="F2" s="540" t="s">
        <v>399</v>
      </c>
      <c r="G2" s="541">
        <v>90000</v>
      </c>
      <c r="H2" s="542">
        <v>2002</v>
      </c>
      <c r="I2" s="542">
        <v>1</v>
      </c>
      <c r="J2" s="540" t="s">
        <v>286</v>
      </c>
      <c r="K2" s="543">
        <v>37537</v>
      </c>
    </row>
    <row r="3" spans="1:11" ht="12.75">
      <c r="A3" s="540" t="s">
        <v>396</v>
      </c>
      <c r="B3" s="540" t="s">
        <v>321</v>
      </c>
      <c r="C3" s="540" t="s">
        <v>282</v>
      </c>
      <c r="D3" s="540" t="s">
        <v>397</v>
      </c>
      <c r="E3" s="540" t="s">
        <v>398</v>
      </c>
      <c r="F3" s="540" t="s">
        <v>307</v>
      </c>
      <c r="G3" s="541">
        <v>200000</v>
      </c>
      <c r="H3" s="542">
        <v>2002</v>
      </c>
      <c r="I3" s="542">
        <v>1</v>
      </c>
      <c r="J3" s="540" t="s">
        <v>286</v>
      </c>
      <c r="K3" s="543">
        <v>37537</v>
      </c>
    </row>
    <row r="4" spans="1:11" ht="12.75">
      <c r="A4" s="540" t="s">
        <v>396</v>
      </c>
      <c r="B4" s="540" t="s">
        <v>321</v>
      </c>
      <c r="C4" s="540" t="s">
        <v>384</v>
      </c>
      <c r="D4" s="540" t="s">
        <v>397</v>
      </c>
      <c r="E4" s="540" t="s">
        <v>398</v>
      </c>
      <c r="F4" s="540" t="s">
        <v>400</v>
      </c>
      <c r="G4" s="541">
        <v>15500</v>
      </c>
      <c r="H4" s="542">
        <v>2002</v>
      </c>
      <c r="I4" s="542">
        <v>1</v>
      </c>
      <c r="J4" s="540" t="s">
        <v>286</v>
      </c>
      <c r="K4" s="543">
        <v>37537</v>
      </c>
    </row>
    <row r="5" spans="1:11" ht="12.75">
      <c r="A5" s="540" t="s">
        <v>396</v>
      </c>
      <c r="B5" s="540" t="s">
        <v>321</v>
      </c>
      <c r="C5" s="540" t="s">
        <v>384</v>
      </c>
      <c r="D5" s="540" t="s">
        <v>397</v>
      </c>
      <c r="E5" s="540" t="s">
        <v>398</v>
      </c>
      <c r="F5" s="540" t="s">
        <v>401</v>
      </c>
      <c r="G5" s="541">
        <v>2130</v>
      </c>
      <c r="H5" s="542">
        <v>2002</v>
      </c>
      <c r="I5" s="542">
        <v>1</v>
      </c>
      <c r="J5" s="540" t="s">
        <v>286</v>
      </c>
      <c r="K5" s="543">
        <v>37537</v>
      </c>
    </row>
    <row r="6" spans="1:11" ht="12.75">
      <c r="A6" s="540" t="s">
        <v>396</v>
      </c>
      <c r="B6" s="540" t="s">
        <v>321</v>
      </c>
      <c r="C6" s="540" t="s">
        <v>384</v>
      </c>
      <c r="D6" s="540" t="s">
        <v>397</v>
      </c>
      <c r="E6" s="540" t="s">
        <v>398</v>
      </c>
      <c r="F6" s="540" t="s">
        <v>399</v>
      </c>
      <c r="G6" s="541">
        <v>20955</v>
      </c>
      <c r="H6" s="542">
        <v>2002</v>
      </c>
      <c r="I6" s="542">
        <v>1</v>
      </c>
      <c r="J6" s="540" t="s">
        <v>286</v>
      </c>
      <c r="K6" s="543">
        <v>37537</v>
      </c>
    </row>
    <row r="7" spans="1:11" ht="12.75">
      <c r="A7" s="540" t="s">
        <v>396</v>
      </c>
      <c r="B7" s="540" t="s">
        <v>321</v>
      </c>
      <c r="C7" s="540" t="s">
        <v>384</v>
      </c>
      <c r="D7" s="540" t="s">
        <v>397</v>
      </c>
      <c r="E7" s="540" t="s">
        <v>398</v>
      </c>
      <c r="F7" s="540" t="s">
        <v>307</v>
      </c>
      <c r="G7" s="541">
        <v>269385</v>
      </c>
      <c r="H7" s="542">
        <v>2002</v>
      </c>
      <c r="I7" s="542">
        <v>1</v>
      </c>
      <c r="J7" s="540" t="s">
        <v>286</v>
      </c>
      <c r="K7" s="543">
        <v>37537</v>
      </c>
    </row>
    <row r="8" spans="1:11" ht="12.75">
      <c r="A8" s="540" t="s">
        <v>396</v>
      </c>
      <c r="B8" s="540" t="s">
        <v>321</v>
      </c>
      <c r="C8" s="540" t="s">
        <v>384</v>
      </c>
      <c r="D8" s="540" t="s">
        <v>397</v>
      </c>
      <c r="E8" s="540" t="s">
        <v>398</v>
      </c>
      <c r="F8" s="540" t="s">
        <v>402</v>
      </c>
      <c r="G8" s="541">
        <v>8975</v>
      </c>
      <c r="H8" s="542">
        <v>2002</v>
      </c>
      <c r="I8" s="542">
        <v>1</v>
      </c>
      <c r="J8" s="540" t="s">
        <v>286</v>
      </c>
      <c r="K8" s="543">
        <v>37537</v>
      </c>
    </row>
    <row r="13" spans="1:2" ht="12.75">
      <c r="A13" s="538" t="s">
        <v>403</v>
      </c>
      <c r="B13" s="538" t="s">
        <v>273</v>
      </c>
    </row>
    <row r="14" spans="1:2" ht="12.75">
      <c r="A14" s="540" t="s">
        <v>398</v>
      </c>
      <c r="B14" s="5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7"/>
  <sheetViews>
    <sheetView view="pageBreakPreview" zoomScaleSheetLayoutView="100" workbookViewId="0" topLeftCell="A1">
      <selection activeCell="D372" sqref="D372"/>
    </sheetView>
  </sheetViews>
  <sheetFormatPr defaultColWidth="9.140625" defaultRowHeight="12.75" outlineLevelRow="4"/>
  <cols>
    <col min="1" max="1" width="5.421875" style="0" customWidth="1"/>
    <col min="2" max="2" width="6.00390625" style="0" customWidth="1"/>
    <col min="3" max="3" width="6.00390625" style="9" customWidth="1"/>
    <col min="4" max="4" width="50.7109375" style="6" customWidth="1"/>
    <col min="5" max="5" width="20.8515625" style="525" customWidth="1"/>
    <col min="6" max="6" width="19.00390625" style="429" customWidth="1"/>
    <col min="8" max="8" width="10.8515625" style="0" bestFit="1" customWidth="1"/>
  </cols>
  <sheetData>
    <row r="1" ht="4.5" customHeight="1"/>
    <row r="2" spans="4:6" ht="79.5" customHeight="1">
      <c r="D2" s="164" t="s">
        <v>217</v>
      </c>
      <c r="E2" s="18" t="s">
        <v>414</v>
      </c>
      <c r="F2" s="18"/>
    </row>
    <row r="3" spans="5:6" ht="7.5" customHeight="1" thickBot="1">
      <c r="E3" s="272"/>
      <c r="F3" s="430"/>
    </row>
    <row r="4" spans="4:8" ht="13.5" thickBot="1">
      <c r="D4" s="562"/>
      <c r="E4" s="561">
        <f>E6+E19+E24+E41+E48+E57+E126+E138+E141+E173+E178+E189+E236+E239+E277+E300+E332+E362+E406+E409</f>
        <v>677417509.73</v>
      </c>
      <c r="F4" s="429" t="b">
        <f>'gmina własne'!E3+'gmina zlecone'!E3+'powiat własny'!E3+'powiat zlecone'!E3=ogółem!E4</f>
        <v>1</v>
      </c>
      <c r="H4" s="14"/>
    </row>
    <row r="5" ht="7.5" customHeight="1" thickBot="1"/>
    <row r="6" spans="1:10" s="3" customFormat="1" ht="16.5" thickBot="1">
      <c r="A6" s="218" t="s">
        <v>111</v>
      </c>
      <c r="B6" s="214"/>
      <c r="C6" s="215"/>
      <c r="D6" s="277" t="s">
        <v>0</v>
      </c>
      <c r="E6" s="229">
        <f>E7+E10+E14+E12</f>
        <v>376150</v>
      </c>
      <c r="F6" s="224">
        <f>'gmina własne'!E5</f>
        <v>376150</v>
      </c>
      <c r="H6" s="5"/>
      <c r="I6" s="5"/>
      <c r="J6" s="5"/>
    </row>
    <row r="7" spans="1:9" s="3" customFormat="1" ht="12.75" outlineLevel="1">
      <c r="A7" s="220"/>
      <c r="B7" s="217" t="s">
        <v>112</v>
      </c>
      <c r="C7" s="213"/>
      <c r="D7" s="278" t="s">
        <v>1</v>
      </c>
      <c r="E7" s="230">
        <f>SUM(E8:E9)</f>
        <v>265000</v>
      </c>
      <c r="F7" s="224"/>
      <c r="I7" s="5"/>
    </row>
    <row r="8" spans="1:9" s="6" customFormat="1" ht="12.75" outlineLevel="2">
      <c r="A8" s="202"/>
      <c r="B8" s="200"/>
      <c r="C8" s="183">
        <v>4270</v>
      </c>
      <c r="D8" s="279" t="s">
        <v>2</v>
      </c>
      <c r="E8" s="490">
        <f>'gmina własne'!E7</f>
        <v>155000</v>
      </c>
      <c r="I8" s="5"/>
    </row>
    <row r="9" spans="1:9" s="6" customFormat="1" ht="12.75" outlineLevel="2">
      <c r="A9" s="202"/>
      <c r="B9" s="200"/>
      <c r="C9" s="183">
        <v>4300</v>
      </c>
      <c r="D9" s="279" t="s">
        <v>8</v>
      </c>
      <c r="E9" s="518">
        <f>'gmina własne'!E8</f>
        <v>110000</v>
      </c>
      <c r="I9" s="5"/>
    </row>
    <row r="10" spans="1:9" s="3" customFormat="1" ht="38.25" outlineLevel="1">
      <c r="A10" s="220"/>
      <c r="B10" s="216" t="s">
        <v>113</v>
      </c>
      <c r="C10" s="213"/>
      <c r="D10" s="278" t="s">
        <v>3</v>
      </c>
      <c r="E10" s="230">
        <f>E11</f>
        <v>2100</v>
      </c>
      <c r="F10" s="224"/>
      <c r="I10" s="5"/>
    </row>
    <row r="11" spans="1:9" s="6" customFormat="1" ht="12.75" outlineLevel="2">
      <c r="A11" s="202"/>
      <c r="B11" s="192"/>
      <c r="C11" s="183">
        <v>4100</v>
      </c>
      <c r="D11" s="279" t="s">
        <v>4</v>
      </c>
      <c r="E11" s="490">
        <v>2100</v>
      </c>
      <c r="I11" s="5"/>
    </row>
    <row r="12" spans="1:9" s="3" customFormat="1" ht="12.75" outlineLevel="1">
      <c r="A12" s="220"/>
      <c r="B12" s="217" t="s">
        <v>221</v>
      </c>
      <c r="C12" s="213"/>
      <c r="D12" s="278" t="s">
        <v>222</v>
      </c>
      <c r="E12" s="230">
        <f>E13</f>
        <v>5040</v>
      </c>
      <c r="F12" s="224"/>
      <c r="I12" s="5"/>
    </row>
    <row r="13" spans="1:9" s="6" customFormat="1" ht="22.5" outlineLevel="2">
      <c r="A13" s="202"/>
      <c r="B13" s="192"/>
      <c r="C13" s="183">
        <v>2850</v>
      </c>
      <c r="D13" s="279" t="s">
        <v>223</v>
      </c>
      <c r="E13" s="490">
        <v>5040</v>
      </c>
      <c r="I13" s="5"/>
    </row>
    <row r="14" spans="1:9" s="3" customFormat="1" ht="12.75" outlineLevel="1">
      <c r="A14" s="220"/>
      <c r="B14" s="216" t="s">
        <v>114</v>
      </c>
      <c r="C14" s="213"/>
      <c r="D14" s="278" t="s">
        <v>5</v>
      </c>
      <c r="E14" s="230">
        <f>SUM(E15:E17)</f>
        <v>104010</v>
      </c>
      <c r="F14" s="224"/>
      <c r="I14" s="5"/>
    </row>
    <row r="15" spans="1:9" s="6" customFormat="1" ht="12.75" outlineLevel="2">
      <c r="A15" s="202"/>
      <c r="B15" s="200"/>
      <c r="C15" s="183">
        <v>3020</v>
      </c>
      <c r="D15" s="279" t="s">
        <v>6</v>
      </c>
      <c r="E15" s="490">
        <f>'gmina własne'!E14</f>
        <v>4000</v>
      </c>
      <c r="I15" s="5"/>
    </row>
    <row r="16" spans="1:9" s="6" customFormat="1" ht="12.75" outlineLevel="2">
      <c r="A16" s="202"/>
      <c r="B16" s="200"/>
      <c r="C16" s="183">
        <v>4210</v>
      </c>
      <c r="D16" s="279" t="s">
        <v>7</v>
      </c>
      <c r="E16" s="490">
        <f>'gmina własne'!E15</f>
        <v>92930</v>
      </c>
      <c r="I16" s="5"/>
    </row>
    <row r="17" spans="1:9" s="6" customFormat="1" ht="13.5" outlineLevel="2" thickBot="1">
      <c r="A17" s="202"/>
      <c r="B17" s="200"/>
      <c r="C17" s="183">
        <v>4300</v>
      </c>
      <c r="D17" s="279" t="s">
        <v>8</v>
      </c>
      <c r="E17" s="490">
        <f>'gmina własne'!E16</f>
        <v>7080</v>
      </c>
      <c r="I17" s="5"/>
    </row>
    <row r="18" spans="1:9" s="6" customFormat="1" ht="13.5" hidden="1" outlineLevel="2" thickBot="1">
      <c r="A18" s="202"/>
      <c r="B18" s="200"/>
      <c r="C18" s="205">
        <v>4430</v>
      </c>
      <c r="D18" s="280" t="s">
        <v>9</v>
      </c>
      <c r="E18" s="491">
        <v>0</v>
      </c>
      <c r="I18" s="5"/>
    </row>
    <row r="19" spans="1:10" s="3" customFormat="1" ht="32.25" collapsed="1" thickBot="1">
      <c r="A19" s="218">
        <v>400</v>
      </c>
      <c r="B19" s="214"/>
      <c r="C19" s="215"/>
      <c r="D19" s="277" t="s">
        <v>10</v>
      </c>
      <c r="E19" s="229">
        <f>E20+E22</f>
        <v>350000</v>
      </c>
      <c r="F19" s="224">
        <f>'gmina własne'!E18</f>
        <v>350000</v>
      </c>
      <c r="H19" s="5"/>
      <c r="I19" s="5"/>
      <c r="J19" s="5"/>
    </row>
    <row r="20" spans="1:9" s="3" customFormat="1" ht="12.75" outlineLevel="1">
      <c r="A20" s="220"/>
      <c r="B20" s="217">
        <v>40001</v>
      </c>
      <c r="C20" s="213"/>
      <c r="D20" s="278" t="s">
        <v>11</v>
      </c>
      <c r="E20" s="230">
        <v>50000</v>
      </c>
      <c r="F20" s="224"/>
      <c r="I20" s="5"/>
    </row>
    <row r="21" spans="1:9" s="6" customFormat="1" ht="12.75" outlineLevel="2">
      <c r="A21" s="202"/>
      <c r="B21" s="192"/>
      <c r="C21" s="183">
        <v>4300</v>
      </c>
      <c r="D21" s="279" t="s">
        <v>8</v>
      </c>
      <c r="E21" s="490">
        <v>50000</v>
      </c>
      <c r="I21" s="5"/>
    </row>
    <row r="22" spans="1:9" s="3" customFormat="1" ht="12.75" outlineLevel="1">
      <c r="A22" s="220"/>
      <c r="B22" s="217">
        <v>40002</v>
      </c>
      <c r="C22" s="213"/>
      <c r="D22" s="278" t="s">
        <v>12</v>
      </c>
      <c r="E22" s="230">
        <v>300000</v>
      </c>
      <c r="F22" s="224"/>
      <c r="I22" s="5"/>
    </row>
    <row r="23" spans="1:9" s="6" customFormat="1" ht="13.5" outlineLevel="2" thickBot="1">
      <c r="A23" s="202"/>
      <c r="B23" s="228"/>
      <c r="C23" s="205">
        <v>4300</v>
      </c>
      <c r="D23" s="280" t="s">
        <v>8</v>
      </c>
      <c r="E23" s="491">
        <v>300000</v>
      </c>
      <c r="I23" s="5"/>
    </row>
    <row r="24" spans="1:10" s="3" customFormat="1" ht="16.5" thickBot="1">
      <c r="A24" s="218">
        <v>600</v>
      </c>
      <c r="B24" s="214"/>
      <c r="C24" s="215"/>
      <c r="D24" s="277" t="s">
        <v>14</v>
      </c>
      <c r="E24" s="229">
        <f>E25+E27+E29+E34</f>
        <v>239970032</v>
      </c>
      <c r="F24" s="224">
        <f>'gmina własne'!E23</f>
        <v>239970032</v>
      </c>
      <c r="G24" s="5"/>
      <c r="H24" s="5"/>
      <c r="I24" s="5"/>
      <c r="J24" s="5"/>
    </row>
    <row r="25" spans="1:9" s="3" customFormat="1" ht="12.75" outlineLevel="1">
      <c r="A25" s="220"/>
      <c r="B25" s="217">
        <v>60004</v>
      </c>
      <c r="C25" s="213"/>
      <c r="D25" s="278" t="s">
        <v>15</v>
      </c>
      <c r="E25" s="230">
        <f>SUM(E26)</f>
        <v>222197938</v>
      </c>
      <c r="F25" s="224">
        <f>'gmina własne'!E24</f>
        <v>222197938</v>
      </c>
      <c r="H25" s="5"/>
      <c r="I25" s="5"/>
    </row>
    <row r="26" spans="1:9" s="6" customFormat="1" ht="12.75" outlineLevel="2">
      <c r="A26" s="202"/>
      <c r="B26" s="192"/>
      <c r="C26" s="183">
        <v>4300</v>
      </c>
      <c r="D26" s="279" t="s">
        <v>8</v>
      </c>
      <c r="E26" s="490">
        <f>'gmina własne'!E25</f>
        <v>222197938</v>
      </c>
      <c r="I26" s="5"/>
    </row>
    <row r="27" spans="1:6" s="3" customFormat="1" ht="12.75" hidden="1" outlineLevel="1">
      <c r="A27" s="201"/>
      <c r="B27" s="193">
        <v>60015</v>
      </c>
      <c r="C27" s="72"/>
      <c r="D27" s="151" t="s">
        <v>261</v>
      </c>
      <c r="E27" s="239">
        <f>E28</f>
        <v>0</v>
      </c>
      <c r="F27" s="224">
        <f>'powiat własny'!E6</f>
        <v>0</v>
      </c>
    </row>
    <row r="28" spans="1:5" s="6" customFormat="1" ht="12.75" hidden="1" outlineLevel="2">
      <c r="A28" s="202"/>
      <c r="B28" s="192"/>
      <c r="C28" s="183">
        <v>6800</v>
      </c>
      <c r="D28" s="187" t="s">
        <v>58</v>
      </c>
      <c r="E28" s="231">
        <f>'powiat własny'!E7</f>
        <v>0</v>
      </c>
    </row>
    <row r="29" spans="1:9" s="3" customFormat="1" ht="13.5" customHeight="1" outlineLevel="1" collapsed="1">
      <c r="A29" s="220"/>
      <c r="B29" s="216">
        <v>60016</v>
      </c>
      <c r="C29" s="213"/>
      <c r="D29" s="278" t="s">
        <v>16</v>
      </c>
      <c r="E29" s="230">
        <f>SUM(E30:E33)</f>
        <v>3612182</v>
      </c>
      <c r="F29" s="224">
        <f>'gmina własne'!E26</f>
        <v>3612182</v>
      </c>
      <c r="H29" s="5"/>
      <c r="I29" s="5"/>
    </row>
    <row r="30" spans="1:9" s="6" customFormat="1" ht="12.75" outlineLevel="2">
      <c r="A30" s="202"/>
      <c r="B30" s="200"/>
      <c r="C30" s="183">
        <v>4210</v>
      </c>
      <c r="D30" s="279" t="s">
        <v>7</v>
      </c>
      <c r="E30" s="490">
        <f>'gmina własne'!E27</f>
        <v>11763</v>
      </c>
      <c r="I30" s="5"/>
    </row>
    <row r="31" spans="1:9" s="6" customFormat="1" ht="12.75" outlineLevel="2">
      <c r="A31" s="202"/>
      <c r="B31" s="200"/>
      <c r="C31" s="183">
        <v>4270</v>
      </c>
      <c r="D31" s="279" t="s">
        <v>2</v>
      </c>
      <c r="E31" s="490">
        <f>'gmina własne'!E28</f>
        <v>102355</v>
      </c>
      <c r="I31" s="5"/>
    </row>
    <row r="32" spans="1:9" s="6" customFormat="1" ht="12.75" outlineLevel="2">
      <c r="A32" s="202"/>
      <c r="B32" s="200"/>
      <c r="C32" s="183">
        <v>4300</v>
      </c>
      <c r="D32" s="279" t="s">
        <v>8</v>
      </c>
      <c r="E32" s="490">
        <f>'gmina własne'!E29</f>
        <v>162564</v>
      </c>
      <c r="I32" s="5"/>
    </row>
    <row r="33" spans="1:9" s="6" customFormat="1" ht="33.75" outlineLevel="2">
      <c r="A33" s="202"/>
      <c r="B33" s="200"/>
      <c r="C33" s="183">
        <v>6230</v>
      </c>
      <c r="D33" s="279" t="s">
        <v>257</v>
      </c>
      <c r="E33" s="490">
        <f>'gmina własne'!E30</f>
        <v>3335500</v>
      </c>
      <c r="I33" s="5"/>
    </row>
    <row r="34" spans="1:9" s="3" customFormat="1" ht="12.75" outlineLevel="1">
      <c r="A34" s="220"/>
      <c r="B34" s="216">
        <v>60095</v>
      </c>
      <c r="C34" s="213"/>
      <c r="D34" s="278" t="s">
        <v>5</v>
      </c>
      <c r="E34" s="230">
        <f>SUM(E35:E40)</f>
        <v>14159912</v>
      </c>
      <c r="F34" s="224"/>
      <c r="H34" s="5"/>
      <c r="I34" s="5"/>
    </row>
    <row r="35" spans="1:9" s="6" customFormat="1" ht="12.75" hidden="1" outlineLevel="2">
      <c r="A35" s="202"/>
      <c r="B35" s="200"/>
      <c r="C35" s="183">
        <v>3030</v>
      </c>
      <c r="D35" s="279" t="s">
        <v>17</v>
      </c>
      <c r="E35" s="490">
        <v>0</v>
      </c>
      <c r="I35" s="5"/>
    </row>
    <row r="36" spans="1:9" s="6" customFormat="1" ht="12.75" outlineLevel="2">
      <c r="A36" s="202"/>
      <c r="B36" s="200"/>
      <c r="C36" s="183">
        <v>4210</v>
      </c>
      <c r="D36" s="279" t="s">
        <v>7</v>
      </c>
      <c r="E36" s="490">
        <f>'gmina własne'!E33</f>
        <v>4000</v>
      </c>
      <c r="I36" s="5"/>
    </row>
    <row r="37" spans="1:9" s="6" customFormat="1" ht="12.75" outlineLevel="2">
      <c r="A37" s="202"/>
      <c r="B37" s="200"/>
      <c r="C37" s="183">
        <v>4270</v>
      </c>
      <c r="D37" s="279" t="s">
        <v>2</v>
      </c>
      <c r="E37" s="490">
        <f>'gmina własne'!E34</f>
        <v>46912</v>
      </c>
      <c r="I37" s="5"/>
    </row>
    <row r="38" spans="1:9" s="6" customFormat="1" ht="12.75" outlineLevel="2">
      <c r="A38" s="202"/>
      <c r="B38" s="200"/>
      <c r="C38" s="183">
        <v>4300</v>
      </c>
      <c r="D38" s="279" t="s">
        <v>8</v>
      </c>
      <c r="E38" s="490">
        <f>'gmina własne'!E35</f>
        <v>608000</v>
      </c>
      <c r="I38" s="5"/>
    </row>
    <row r="39" spans="1:9" s="6" customFormat="1" ht="12.75" outlineLevel="2">
      <c r="A39" s="202"/>
      <c r="B39" s="200"/>
      <c r="C39" s="205">
        <v>4430</v>
      </c>
      <c r="D39" s="280" t="s">
        <v>9</v>
      </c>
      <c r="E39" s="490">
        <f>'gmina własne'!E36</f>
        <v>1000</v>
      </c>
      <c r="I39" s="5"/>
    </row>
    <row r="40" spans="1:9" s="6" customFormat="1" ht="23.25" outlineLevel="2" thickBot="1">
      <c r="A40" s="202"/>
      <c r="B40" s="200"/>
      <c r="C40" s="205">
        <v>6010</v>
      </c>
      <c r="D40" s="280" t="s">
        <v>13</v>
      </c>
      <c r="E40" s="490">
        <f>'gmina własne'!E37</f>
        <v>13500000</v>
      </c>
      <c r="I40" s="5"/>
    </row>
    <row r="41" spans="1:10" s="3" customFormat="1" ht="16.5" thickBot="1">
      <c r="A41" s="190">
        <v>630</v>
      </c>
      <c r="B41" s="194"/>
      <c r="C41" s="182"/>
      <c r="D41" s="277" t="s">
        <v>18</v>
      </c>
      <c r="E41" s="229">
        <f>E42+E45</f>
        <v>241442</v>
      </c>
      <c r="F41" s="224">
        <f>'gmina własne'!E38</f>
        <v>241442</v>
      </c>
      <c r="H41" s="5"/>
      <c r="I41" s="5"/>
      <c r="J41" s="5"/>
    </row>
    <row r="42" spans="1:9" s="3" customFormat="1" ht="12.75" outlineLevel="1">
      <c r="A42" s="220"/>
      <c r="B42" s="217">
        <v>63003</v>
      </c>
      <c r="C42" s="213"/>
      <c r="D42" s="278" t="s">
        <v>19</v>
      </c>
      <c r="E42" s="230">
        <f>SUM(E43:E44)</f>
        <v>125000</v>
      </c>
      <c r="F42" s="224"/>
      <c r="I42" s="5"/>
    </row>
    <row r="43" spans="1:9" s="6" customFormat="1" ht="22.5" outlineLevel="2">
      <c r="A43" s="202"/>
      <c r="B43" s="228"/>
      <c r="C43" s="183">
        <v>2630</v>
      </c>
      <c r="D43" s="279" t="s">
        <v>20</v>
      </c>
      <c r="E43" s="490">
        <v>43100</v>
      </c>
      <c r="I43" s="5"/>
    </row>
    <row r="44" spans="1:9" s="6" customFormat="1" ht="12.75" outlineLevel="2">
      <c r="A44" s="202"/>
      <c r="B44" s="292"/>
      <c r="C44" s="183">
        <v>4300</v>
      </c>
      <c r="D44" s="279" t="s">
        <v>8</v>
      </c>
      <c r="E44" s="490">
        <v>81900</v>
      </c>
      <c r="I44" s="5"/>
    </row>
    <row r="45" spans="1:9" s="3" customFormat="1" ht="12.75" outlineLevel="1">
      <c r="A45" s="220"/>
      <c r="B45" s="216">
        <v>63095</v>
      </c>
      <c r="C45" s="213"/>
      <c r="D45" s="278" t="s">
        <v>5</v>
      </c>
      <c r="E45" s="230">
        <f>SUM(E46:E47)</f>
        <v>116442</v>
      </c>
      <c r="F45" s="224"/>
      <c r="I45" s="5"/>
    </row>
    <row r="46" spans="1:9" s="6" customFormat="1" ht="12.75" outlineLevel="2">
      <c r="A46" s="202"/>
      <c r="B46" s="200"/>
      <c r="C46" s="183">
        <v>4210</v>
      </c>
      <c r="D46" s="279" t="s">
        <v>7</v>
      </c>
      <c r="E46" s="490">
        <v>4084</v>
      </c>
      <c r="I46" s="5"/>
    </row>
    <row r="47" spans="1:9" s="6" customFormat="1" ht="13.5" outlineLevel="2" thickBot="1">
      <c r="A47" s="203"/>
      <c r="B47" s="209"/>
      <c r="C47" s="184">
        <v>4300</v>
      </c>
      <c r="D47" s="282" t="s">
        <v>8</v>
      </c>
      <c r="E47" s="492">
        <v>112358</v>
      </c>
      <c r="I47" s="5"/>
    </row>
    <row r="48" spans="1:10" s="3" customFormat="1" ht="16.5" thickBot="1">
      <c r="A48" s="190">
        <v>700</v>
      </c>
      <c r="B48" s="194"/>
      <c r="C48" s="182"/>
      <c r="D48" s="277" t="s">
        <v>21</v>
      </c>
      <c r="E48" s="229">
        <f>E49+E51+E53</f>
        <v>31756000</v>
      </c>
      <c r="F48" s="224">
        <f>'gmina własne'!E45+'powiat własny'!E8</f>
        <v>31756000</v>
      </c>
      <c r="H48" s="5"/>
      <c r="I48" s="5"/>
      <c r="J48" s="5"/>
    </row>
    <row r="49" spans="1:9" s="3" customFormat="1" ht="12.75" outlineLevel="1">
      <c r="A49" s="220"/>
      <c r="B49" s="217">
        <v>70001</v>
      </c>
      <c r="C49" s="213"/>
      <c r="D49" s="281" t="s">
        <v>135</v>
      </c>
      <c r="E49" s="230">
        <f>E50</f>
        <v>14200000</v>
      </c>
      <c r="F49" s="224"/>
      <c r="I49" s="5"/>
    </row>
    <row r="50" spans="1:9" s="6" customFormat="1" ht="33" customHeight="1" outlineLevel="2">
      <c r="A50" s="202"/>
      <c r="B50" s="192"/>
      <c r="C50" s="183">
        <v>6210</v>
      </c>
      <c r="D50" s="279" t="s">
        <v>88</v>
      </c>
      <c r="E50" s="490">
        <f>'gmina własne'!E47</f>
        <v>14200000</v>
      </c>
      <c r="I50" s="5"/>
    </row>
    <row r="51" spans="1:9" s="3" customFormat="1" ht="12.75" outlineLevel="1">
      <c r="A51" s="220"/>
      <c r="B51" s="216">
        <v>70021</v>
      </c>
      <c r="C51" s="213"/>
      <c r="D51" s="278" t="s">
        <v>227</v>
      </c>
      <c r="E51" s="230">
        <f>E52</f>
        <v>14000000</v>
      </c>
      <c r="F51" s="224"/>
      <c r="I51" s="5"/>
    </row>
    <row r="52" spans="1:9" s="6" customFormat="1" ht="33" customHeight="1" outlineLevel="2">
      <c r="A52" s="202"/>
      <c r="B52" s="192"/>
      <c r="C52" s="183">
        <v>6010</v>
      </c>
      <c r="D52" s="279" t="s">
        <v>13</v>
      </c>
      <c r="E52" s="490">
        <f>'gmina własne'!E49</f>
        <v>14000000</v>
      </c>
      <c r="I52" s="5"/>
    </row>
    <row r="53" spans="1:9" s="3" customFormat="1" ht="12.75" outlineLevel="1">
      <c r="A53" s="220"/>
      <c r="B53" s="216">
        <v>70095</v>
      </c>
      <c r="C53" s="213"/>
      <c r="D53" s="278" t="s">
        <v>5</v>
      </c>
      <c r="E53" s="230">
        <f>SUM(E54:E56)</f>
        <v>3556000</v>
      </c>
      <c r="F53" s="224"/>
      <c r="I53" s="5"/>
    </row>
    <row r="54" spans="1:6" ht="12.75" outlineLevel="2">
      <c r="A54" s="202"/>
      <c r="B54" s="200"/>
      <c r="C54" s="183">
        <v>4300</v>
      </c>
      <c r="D54" s="222" t="s">
        <v>8</v>
      </c>
      <c r="E54" s="497">
        <f>'gmina własne'!E51+'powiat własny'!E10</f>
        <v>1256000</v>
      </c>
      <c r="F54" s="285"/>
    </row>
    <row r="55" spans="1:6" ht="22.5" outlineLevel="2">
      <c r="A55" s="202"/>
      <c r="B55" s="200"/>
      <c r="C55" s="183">
        <v>6010</v>
      </c>
      <c r="D55" s="222" t="s">
        <v>13</v>
      </c>
      <c r="E55" s="497">
        <v>2000000</v>
      </c>
      <c r="F55" s="285"/>
    </row>
    <row r="56" spans="1:9" s="6" customFormat="1" ht="13.5" outlineLevel="2" thickBot="1">
      <c r="A56" s="203"/>
      <c r="B56" s="209"/>
      <c r="C56" s="184">
        <v>6050</v>
      </c>
      <c r="D56" s="282" t="s">
        <v>35</v>
      </c>
      <c r="E56" s="490">
        <v>300000</v>
      </c>
      <c r="I56" s="5"/>
    </row>
    <row r="57" spans="1:7" ht="14.25" customHeight="1" thickBot="1">
      <c r="A57" s="218">
        <v>750</v>
      </c>
      <c r="B57" s="214"/>
      <c r="C57" s="215"/>
      <c r="D57" s="219" t="s">
        <v>22</v>
      </c>
      <c r="E57" s="229">
        <f>E58+E65+E78+E106+E113+E100</f>
        <v>107964756</v>
      </c>
      <c r="F57" s="516">
        <f>'powiat zlecone'!E5+'powiat własny'!E11+'gmina zlecone'!E5+'gmina własne'!E54</f>
        <v>107964756</v>
      </c>
      <c r="G57" s="14">
        <f>E57-F57</f>
        <v>0</v>
      </c>
    </row>
    <row r="58" spans="1:6" ht="14.25" customHeight="1" outlineLevel="1">
      <c r="A58" s="220"/>
      <c r="B58" s="217">
        <v>75011</v>
      </c>
      <c r="C58" s="213"/>
      <c r="D58" s="221" t="s">
        <v>23</v>
      </c>
      <c r="E58" s="232">
        <f>SUM(E59:E64)</f>
        <v>3295100</v>
      </c>
      <c r="F58" s="516">
        <f>'gmina zlecone'!E6+'powiat zlecone'!E6</f>
        <v>3295100</v>
      </c>
    </row>
    <row r="59" spans="1:6" ht="12" customHeight="1" outlineLevel="2">
      <c r="A59" s="202"/>
      <c r="B59" s="200"/>
      <c r="C59" s="183">
        <v>4010</v>
      </c>
      <c r="D59" s="222" t="s">
        <v>24</v>
      </c>
      <c r="E59" s="497">
        <f>'gmina zlecone'!E7+'powiat zlecone'!E7</f>
        <v>2460106.55</v>
      </c>
      <c r="F59" s="285"/>
    </row>
    <row r="60" spans="1:6" ht="12" customHeight="1" outlineLevel="2">
      <c r="A60" s="202"/>
      <c r="B60" s="200"/>
      <c r="C60" s="183">
        <v>4050</v>
      </c>
      <c r="D60" s="222" t="s">
        <v>214</v>
      </c>
      <c r="E60" s="497">
        <f>'gmina zlecone'!E8</f>
        <v>32943.45</v>
      </c>
      <c r="F60" s="285"/>
    </row>
    <row r="61" spans="1:6" ht="12" customHeight="1" outlineLevel="2">
      <c r="A61" s="202"/>
      <c r="B61" s="200"/>
      <c r="C61" s="183">
        <v>4110</v>
      </c>
      <c r="D61" s="222" t="s">
        <v>25</v>
      </c>
      <c r="E61" s="269">
        <f>'gmina zlecone'!E9+'powiat zlecone'!E8</f>
        <v>439868</v>
      </c>
      <c r="F61" s="285"/>
    </row>
    <row r="62" spans="1:6" ht="12" customHeight="1" outlineLevel="2">
      <c r="A62" s="202"/>
      <c r="B62" s="200"/>
      <c r="C62" s="183">
        <v>4120</v>
      </c>
      <c r="D62" s="222" t="s">
        <v>26</v>
      </c>
      <c r="E62" s="269">
        <f>'gmina zlecone'!E10+'powiat zlecone'!E9</f>
        <v>60273</v>
      </c>
      <c r="F62" s="285"/>
    </row>
    <row r="63" spans="1:6" ht="12" customHeight="1" outlineLevel="2">
      <c r="A63" s="202"/>
      <c r="B63" s="200"/>
      <c r="C63" s="183">
        <v>4300</v>
      </c>
      <c r="D63" s="222" t="s">
        <v>8</v>
      </c>
      <c r="E63" s="269">
        <f>'gmina zlecone'!E11+'powiat zlecone'!E10</f>
        <v>206007</v>
      </c>
      <c r="F63" s="285"/>
    </row>
    <row r="64" spans="1:6" ht="12" customHeight="1" outlineLevel="2">
      <c r="A64" s="202"/>
      <c r="B64" s="200"/>
      <c r="C64" s="183">
        <v>4440</v>
      </c>
      <c r="D64" s="222" t="s">
        <v>29</v>
      </c>
      <c r="E64" s="269">
        <f>'gmina zlecone'!E12+'powiat zlecone'!E11</f>
        <v>95902</v>
      </c>
      <c r="F64" s="285"/>
    </row>
    <row r="65" spans="1:9" s="3" customFormat="1" ht="12.75" outlineLevel="1">
      <c r="A65" s="220"/>
      <c r="B65" s="216">
        <v>75022</v>
      </c>
      <c r="C65" s="213"/>
      <c r="D65" s="278" t="s">
        <v>30</v>
      </c>
      <c r="E65" s="230">
        <f>SUM(E66:E77)</f>
        <v>2761580</v>
      </c>
      <c r="F65" s="224">
        <f>'gmina własne'!E55</f>
        <v>2761580</v>
      </c>
      <c r="H65" s="5"/>
      <c r="I65" s="5"/>
    </row>
    <row r="66" spans="1:10" s="6" customFormat="1" ht="12.75" outlineLevel="2">
      <c r="A66" s="202"/>
      <c r="B66" s="200"/>
      <c r="C66" s="183">
        <v>3030</v>
      </c>
      <c r="D66" s="279" t="s">
        <v>17</v>
      </c>
      <c r="E66" s="490">
        <v>1357000</v>
      </c>
      <c r="H66" s="271"/>
      <c r="I66" s="5"/>
      <c r="J66" s="271"/>
    </row>
    <row r="67" spans="1:10" s="6" customFormat="1" ht="12.75" outlineLevel="2">
      <c r="A67" s="202"/>
      <c r="B67" s="200"/>
      <c r="C67" s="183">
        <v>4010</v>
      </c>
      <c r="D67" s="279" t="s">
        <v>24</v>
      </c>
      <c r="E67" s="490">
        <v>580000</v>
      </c>
      <c r="H67" s="271"/>
      <c r="I67" s="5"/>
      <c r="J67" s="271"/>
    </row>
    <row r="68" spans="1:10" s="6" customFormat="1" ht="12.75" outlineLevel="2">
      <c r="A68" s="202"/>
      <c r="B68" s="200"/>
      <c r="C68" s="183">
        <v>4040</v>
      </c>
      <c r="D68" s="279" t="s">
        <v>31</v>
      </c>
      <c r="E68" s="490">
        <v>34500</v>
      </c>
      <c r="H68" s="271"/>
      <c r="I68" s="5"/>
      <c r="J68" s="271"/>
    </row>
    <row r="69" spans="1:10" s="6" customFormat="1" ht="12.75" outlineLevel="2">
      <c r="A69" s="202"/>
      <c r="B69" s="200"/>
      <c r="C69" s="183">
        <v>4110</v>
      </c>
      <c r="D69" s="279" t="s">
        <v>25</v>
      </c>
      <c r="E69" s="490">
        <v>94450</v>
      </c>
      <c r="H69" s="271"/>
      <c r="I69" s="5"/>
      <c r="J69" s="271"/>
    </row>
    <row r="70" spans="1:10" s="6" customFormat="1" ht="12.75" outlineLevel="2">
      <c r="A70" s="202"/>
      <c r="B70" s="200"/>
      <c r="C70" s="183">
        <v>4120</v>
      </c>
      <c r="D70" s="279" t="s">
        <v>26</v>
      </c>
      <c r="E70" s="490">
        <v>13630</v>
      </c>
      <c r="H70" s="271"/>
      <c r="I70" s="5"/>
      <c r="J70" s="271"/>
    </row>
    <row r="71" spans="1:10" s="6" customFormat="1" ht="12.75" outlineLevel="2">
      <c r="A71" s="202"/>
      <c r="B71" s="200"/>
      <c r="C71" s="183">
        <v>4210</v>
      </c>
      <c r="D71" s="279" t="s">
        <v>7</v>
      </c>
      <c r="E71" s="490">
        <v>97000</v>
      </c>
      <c r="H71" s="271"/>
      <c r="I71" s="5"/>
      <c r="J71" s="271"/>
    </row>
    <row r="72" spans="1:10" s="6" customFormat="1" ht="12.75" outlineLevel="2">
      <c r="A72" s="202"/>
      <c r="B72" s="200"/>
      <c r="C72" s="183">
        <v>4270</v>
      </c>
      <c r="D72" s="279" t="s">
        <v>2</v>
      </c>
      <c r="E72" s="490">
        <v>180000</v>
      </c>
      <c r="H72" s="271"/>
      <c r="I72" s="5"/>
      <c r="J72" s="271"/>
    </row>
    <row r="73" spans="1:10" s="6" customFormat="1" ht="12.75" outlineLevel="2">
      <c r="A73" s="202"/>
      <c r="B73" s="200"/>
      <c r="C73" s="183">
        <v>4300</v>
      </c>
      <c r="D73" s="279" t="s">
        <v>8</v>
      </c>
      <c r="E73" s="490">
        <v>210000</v>
      </c>
      <c r="H73" s="271"/>
      <c r="I73" s="5"/>
      <c r="J73" s="271"/>
    </row>
    <row r="74" spans="1:10" s="6" customFormat="1" ht="12.75" outlineLevel="2">
      <c r="A74" s="202"/>
      <c r="B74" s="200"/>
      <c r="C74" s="183">
        <v>4410</v>
      </c>
      <c r="D74" s="279" t="s">
        <v>28</v>
      </c>
      <c r="E74" s="490">
        <v>50000</v>
      </c>
      <c r="H74" s="271"/>
      <c r="I74" s="5"/>
      <c r="J74" s="271"/>
    </row>
    <row r="75" spans="1:10" s="6" customFormat="1" ht="12.75" outlineLevel="2">
      <c r="A75" s="202"/>
      <c r="B75" s="200"/>
      <c r="C75" s="183">
        <v>4420</v>
      </c>
      <c r="D75" s="279" t="s">
        <v>32</v>
      </c>
      <c r="E75" s="490">
        <v>130000</v>
      </c>
      <c r="H75" s="271"/>
      <c r="I75" s="5"/>
      <c r="J75" s="271"/>
    </row>
    <row r="76" spans="1:10" s="6" customFormat="1" ht="12.75" outlineLevel="2">
      <c r="A76" s="202"/>
      <c r="B76" s="200"/>
      <c r="C76" s="183">
        <v>4430</v>
      </c>
      <c r="D76" s="279" t="s">
        <v>9</v>
      </c>
      <c r="E76" s="490">
        <v>5000</v>
      </c>
      <c r="H76" s="271"/>
      <c r="I76" s="5"/>
      <c r="J76" s="271"/>
    </row>
    <row r="77" spans="1:10" s="6" customFormat="1" ht="12.75" outlineLevel="2">
      <c r="A77" s="202"/>
      <c r="B77" s="200"/>
      <c r="C77" s="183">
        <v>4440</v>
      </c>
      <c r="D77" s="279" t="s">
        <v>29</v>
      </c>
      <c r="E77" s="490">
        <v>10000</v>
      </c>
      <c r="H77" s="271"/>
      <c r="I77" s="5"/>
      <c r="J77" s="271"/>
    </row>
    <row r="78" spans="1:10" s="3" customFormat="1" ht="12.75" outlineLevel="1">
      <c r="A78" s="220"/>
      <c r="B78" s="216">
        <v>75023</v>
      </c>
      <c r="C78" s="213"/>
      <c r="D78" s="250" t="s">
        <v>245</v>
      </c>
      <c r="E78" s="232">
        <f>SUM(E79:E99)</f>
        <v>99702397</v>
      </c>
      <c r="F78" s="224">
        <f>'gmina własne'!E68</f>
        <v>99702397</v>
      </c>
      <c r="H78" s="5"/>
      <c r="I78" s="5"/>
      <c r="J78" s="5"/>
    </row>
    <row r="79" spans="1:10" s="6" customFormat="1" ht="12.75" outlineLevel="2">
      <c r="A79" s="202"/>
      <c r="B79" s="200"/>
      <c r="C79" s="183">
        <v>3020</v>
      </c>
      <c r="D79" s="279" t="s">
        <v>6</v>
      </c>
      <c r="E79" s="490">
        <v>65066</v>
      </c>
      <c r="H79" s="271"/>
      <c r="I79" s="5"/>
      <c r="J79" s="271"/>
    </row>
    <row r="80" spans="1:11" s="6" customFormat="1" ht="12.75" outlineLevel="2">
      <c r="A80" s="202"/>
      <c r="B80" s="200"/>
      <c r="C80" s="183">
        <v>3030</v>
      </c>
      <c r="D80" s="279" t="s">
        <v>17</v>
      </c>
      <c r="E80" s="490">
        <v>43418</v>
      </c>
      <c r="H80" s="271"/>
      <c r="I80" s="5"/>
      <c r="J80" s="271"/>
      <c r="K80" s="8"/>
    </row>
    <row r="81" spans="1:10" s="6" customFormat="1" ht="12.75" outlineLevel="2">
      <c r="A81" s="202"/>
      <c r="B81" s="200"/>
      <c r="C81" s="183">
        <v>4010</v>
      </c>
      <c r="D81" s="279" t="s">
        <v>24</v>
      </c>
      <c r="E81" s="490">
        <v>34935165</v>
      </c>
      <c r="H81" s="271"/>
      <c r="I81" s="5"/>
      <c r="J81" s="271"/>
    </row>
    <row r="82" spans="1:10" s="6" customFormat="1" ht="12.75" outlineLevel="2">
      <c r="A82" s="202"/>
      <c r="B82" s="200"/>
      <c r="C82" s="183">
        <v>4040</v>
      </c>
      <c r="D82" s="279" t="s">
        <v>31</v>
      </c>
      <c r="E82" s="490">
        <v>2604049</v>
      </c>
      <c r="H82" s="271"/>
      <c r="I82" s="5"/>
      <c r="J82" s="271"/>
    </row>
    <row r="83" spans="1:10" s="6" customFormat="1" ht="12.75" outlineLevel="2">
      <c r="A83" s="202"/>
      <c r="B83" s="200"/>
      <c r="C83" s="183">
        <v>4110</v>
      </c>
      <c r="D83" s="279" t="s">
        <v>25</v>
      </c>
      <c r="E83" s="490">
        <v>6487268</v>
      </c>
      <c r="H83" s="271"/>
      <c r="I83" s="5"/>
      <c r="J83" s="271"/>
    </row>
    <row r="84" spans="1:10" s="6" customFormat="1" ht="12.75" outlineLevel="2">
      <c r="A84" s="202"/>
      <c r="B84" s="200"/>
      <c r="C84" s="183">
        <v>4120</v>
      </c>
      <c r="D84" s="279" t="s">
        <v>26</v>
      </c>
      <c r="E84" s="490">
        <v>889283</v>
      </c>
      <c r="H84" s="271"/>
      <c r="I84" s="5"/>
      <c r="J84" s="271"/>
    </row>
    <row r="85" spans="1:10" s="6" customFormat="1" ht="22.5" outlineLevel="2">
      <c r="A85" s="202"/>
      <c r="B85" s="200"/>
      <c r="C85" s="183">
        <v>4140</v>
      </c>
      <c r="D85" s="279" t="s">
        <v>230</v>
      </c>
      <c r="E85" s="490">
        <v>26100</v>
      </c>
      <c r="H85" s="271"/>
      <c r="I85" s="5"/>
      <c r="J85" s="271"/>
    </row>
    <row r="86" spans="1:10" s="6" customFormat="1" ht="12.75" outlineLevel="2">
      <c r="A86" s="202"/>
      <c r="B86" s="200"/>
      <c r="C86" s="183">
        <v>4210</v>
      </c>
      <c r="D86" s="279" t="s">
        <v>7</v>
      </c>
      <c r="E86" s="490">
        <v>6859276</v>
      </c>
      <c r="H86" s="271"/>
      <c r="I86" s="5"/>
      <c r="J86" s="271"/>
    </row>
    <row r="87" spans="1:10" s="6" customFormat="1" ht="12.75" outlineLevel="2">
      <c r="A87" s="202"/>
      <c r="B87" s="200"/>
      <c r="C87" s="183">
        <v>4260</v>
      </c>
      <c r="D87" s="279" t="s">
        <v>27</v>
      </c>
      <c r="E87" s="490">
        <v>1898300</v>
      </c>
      <c r="H87" s="271"/>
      <c r="I87" s="5"/>
      <c r="J87" s="271"/>
    </row>
    <row r="88" spans="1:10" s="6" customFormat="1" ht="12.75" outlineLevel="2">
      <c r="A88" s="202"/>
      <c r="B88" s="200"/>
      <c r="C88" s="183">
        <v>4270</v>
      </c>
      <c r="D88" s="279" t="s">
        <v>2</v>
      </c>
      <c r="E88" s="490">
        <v>4997700</v>
      </c>
      <c r="H88" s="271"/>
      <c r="I88" s="5"/>
      <c r="J88" s="271"/>
    </row>
    <row r="89" spans="1:10" s="6" customFormat="1" ht="12.75" outlineLevel="2">
      <c r="A89" s="202"/>
      <c r="B89" s="200"/>
      <c r="C89" s="183">
        <v>4280</v>
      </c>
      <c r="D89" s="279" t="s">
        <v>231</v>
      </c>
      <c r="E89" s="490">
        <v>31350</v>
      </c>
      <c r="H89" s="271"/>
      <c r="I89" s="5"/>
      <c r="J89" s="271"/>
    </row>
    <row r="90" spans="1:10" s="6" customFormat="1" ht="12.75" outlineLevel="2">
      <c r="A90" s="202"/>
      <c r="B90" s="200"/>
      <c r="C90" s="183">
        <v>4300</v>
      </c>
      <c r="D90" s="279" t="s">
        <v>8</v>
      </c>
      <c r="E90" s="490">
        <v>20254554</v>
      </c>
      <c r="H90" s="271"/>
      <c r="I90" s="5"/>
      <c r="J90" s="271"/>
    </row>
    <row r="91" spans="1:10" s="6" customFormat="1" ht="12.75" outlineLevel="2">
      <c r="A91" s="202"/>
      <c r="B91" s="200"/>
      <c r="C91" s="183">
        <v>4410</v>
      </c>
      <c r="D91" s="279" t="s">
        <v>28</v>
      </c>
      <c r="E91" s="490">
        <v>958844</v>
      </c>
      <c r="H91" s="271"/>
      <c r="I91" s="5"/>
      <c r="J91" s="271"/>
    </row>
    <row r="92" spans="1:10" s="6" customFormat="1" ht="12.75" outlineLevel="2">
      <c r="A92" s="202"/>
      <c r="B92" s="200"/>
      <c r="C92" s="183">
        <v>4420</v>
      </c>
      <c r="D92" s="279" t="s">
        <v>32</v>
      </c>
      <c r="E92" s="490">
        <v>612993</v>
      </c>
      <c r="H92" s="271"/>
      <c r="I92" s="5"/>
      <c r="J92" s="271"/>
    </row>
    <row r="93" spans="1:10" s="6" customFormat="1" ht="12.75" outlineLevel="2">
      <c r="A93" s="202"/>
      <c r="B93" s="200"/>
      <c r="C93" s="183">
        <v>4430</v>
      </c>
      <c r="D93" s="279" t="s">
        <v>9</v>
      </c>
      <c r="E93" s="490">
        <v>215712</v>
      </c>
      <c r="H93" s="271"/>
      <c r="I93" s="5"/>
      <c r="J93" s="271"/>
    </row>
    <row r="94" spans="1:10" s="6" customFormat="1" ht="12.75" outlineLevel="2">
      <c r="A94" s="202"/>
      <c r="B94" s="200"/>
      <c r="C94" s="183">
        <v>4440</v>
      </c>
      <c r="D94" s="279" t="s">
        <v>29</v>
      </c>
      <c r="E94" s="490">
        <v>620154</v>
      </c>
      <c r="H94" s="271"/>
      <c r="I94" s="5"/>
      <c r="J94" s="271"/>
    </row>
    <row r="95" spans="1:10" s="6" customFormat="1" ht="12.75" outlineLevel="2">
      <c r="A95" s="202"/>
      <c r="B95" s="200"/>
      <c r="C95" s="183">
        <v>4580</v>
      </c>
      <c r="D95" s="279" t="s">
        <v>232</v>
      </c>
      <c r="E95" s="490">
        <v>3171</v>
      </c>
      <c r="H95" s="271"/>
      <c r="I95" s="5"/>
      <c r="J95" s="271"/>
    </row>
    <row r="96" spans="1:10" s="6" customFormat="1" ht="12.75" outlineLevel="2">
      <c r="A96" s="202"/>
      <c r="B96" s="200"/>
      <c r="C96" s="183">
        <v>4590</v>
      </c>
      <c r="D96" s="279" t="s">
        <v>34</v>
      </c>
      <c r="E96" s="490">
        <v>51000</v>
      </c>
      <c r="H96" s="271"/>
      <c r="I96" s="5"/>
      <c r="J96" s="271"/>
    </row>
    <row r="97" spans="1:10" s="6" customFormat="1" ht="12.75" outlineLevel="2">
      <c r="A97" s="202"/>
      <c r="B97" s="200"/>
      <c r="C97" s="183">
        <v>4610</v>
      </c>
      <c r="D97" s="279" t="s">
        <v>237</v>
      </c>
      <c r="E97" s="490">
        <v>215194</v>
      </c>
      <c r="H97" s="271"/>
      <c r="I97" s="5"/>
      <c r="J97" s="271"/>
    </row>
    <row r="98" spans="1:10" s="6" customFormat="1" ht="12.75" outlineLevel="2">
      <c r="A98" s="202"/>
      <c r="B98" s="200"/>
      <c r="C98" s="183">
        <v>6050</v>
      </c>
      <c r="D98" s="279" t="s">
        <v>35</v>
      </c>
      <c r="E98" s="490">
        <v>3443800</v>
      </c>
      <c r="H98" s="271"/>
      <c r="I98" s="5"/>
      <c r="J98" s="271"/>
    </row>
    <row r="99" spans="1:10" s="6" customFormat="1" ht="13.5" outlineLevel="2" thickBot="1">
      <c r="A99" s="203"/>
      <c r="B99" s="209"/>
      <c r="C99" s="184">
        <v>6060</v>
      </c>
      <c r="D99" s="282" t="s">
        <v>36</v>
      </c>
      <c r="E99" s="492">
        <v>14490000</v>
      </c>
      <c r="H99" s="271"/>
      <c r="I99" s="5"/>
      <c r="J99" s="271"/>
    </row>
    <row r="100" spans="1:6" s="17" customFormat="1" ht="12.75">
      <c r="A100" s="593"/>
      <c r="B100" s="594">
        <v>75045</v>
      </c>
      <c r="C100" s="594"/>
      <c r="D100" s="595" t="s">
        <v>37</v>
      </c>
      <c r="E100" s="596">
        <f>SUM(E101:E105)</f>
        <v>288750</v>
      </c>
      <c r="F100" s="105">
        <f>'powiat własny'!E12+'powiat zlecone'!E12</f>
        <v>288750</v>
      </c>
    </row>
    <row r="101" spans="1:5" s="6" customFormat="1" ht="12.75" outlineLevel="2">
      <c r="A101" s="202"/>
      <c r="B101" s="200"/>
      <c r="C101" s="183">
        <v>4110</v>
      </c>
      <c r="D101" s="187" t="s">
        <v>25</v>
      </c>
      <c r="E101" s="231">
        <f>'powiat własny'!E13+'powiat zlecone'!E13</f>
        <v>8941</v>
      </c>
    </row>
    <row r="102" spans="1:5" s="6" customFormat="1" ht="12.75" outlineLevel="2">
      <c r="A102" s="202"/>
      <c r="B102" s="200"/>
      <c r="C102" s="183">
        <v>4120</v>
      </c>
      <c r="D102" s="187" t="s">
        <v>26</v>
      </c>
      <c r="E102" s="231">
        <f>'powiat własny'!E14+'powiat zlecone'!E14</f>
        <v>1463</v>
      </c>
    </row>
    <row r="103" spans="1:5" s="6" customFormat="1" ht="12.75" outlineLevel="2">
      <c r="A103" s="202"/>
      <c r="B103" s="200"/>
      <c r="C103" s="183">
        <v>4210</v>
      </c>
      <c r="D103" s="187" t="s">
        <v>7</v>
      </c>
      <c r="E103" s="231">
        <f>'powiat własny'!E15+'powiat zlecone'!E15</f>
        <v>2391</v>
      </c>
    </row>
    <row r="104" spans="1:5" s="6" customFormat="1" ht="12.75" outlineLevel="2">
      <c r="A104" s="202"/>
      <c r="B104" s="200"/>
      <c r="C104" s="183">
        <v>4260</v>
      </c>
      <c r="D104" s="187" t="s">
        <v>27</v>
      </c>
      <c r="E104" s="231">
        <f>'powiat własny'!E16+'powiat zlecone'!E16</f>
        <v>2400</v>
      </c>
    </row>
    <row r="105" spans="1:5" s="6" customFormat="1" ht="12.75" outlineLevel="2">
      <c r="A105" s="202"/>
      <c r="B105" s="200"/>
      <c r="C105" s="183">
        <v>4300</v>
      </c>
      <c r="D105" s="187" t="s">
        <v>8</v>
      </c>
      <c r="E105" s="231">
        <f>'powiat własny'!E17+'powiat zlecone'!E17</f>
        <v>273555</v>
      </c>
    </row>
    <row r="106" spans="1:6" s="17" customFormat="1" ht="12.75">
      <c r="A106" s="65"/>
      <c r="B106" s="117">
        <v>75056</v>
      </c>
      <c r="C106" s="34"/>
      <c r="D106" s="260" t="s">
        <v>224</v>
      </c>
      <c r="E106" s="35">
        <f>SUM(E107:E112)</f>
        <v>1165907</v>
      </c>
      <c r="F106" s="105">
        <f>'gmina zlecone'!E13</f>
        <v>1165907</v>
      </c>
    </row>
    <row r="107" spans="1:5" s="6" customFormat="1" ht="12.75" outlineLevel="2">
      <c r="A107" s="202"/>
      <c r="B107" s="200"/>
      <c r="C107" s="183">
        <v>3030</v>
      </c>
      <c r="D107" s="187" t="s">
        <v>152</v>
      </c>
      <c r="E107" s="231">
        <v>453380</v>
      </c>
    </row>
    <row r="108" spans="1:5" s="6" customFormat="1" ht="12.75" outlineLevel="2">
      <c r="A108" s="202"/>
      <c r="B108" s="200"/>
      <c r="C108" s="183">
        <v>4110</v>
      </c>
      <c r="D108" s="187" t="s">
        <v>25</v>
      </c>
      <c r="E108" s="231">
        <v>33715</v>
      </c>
    </row>
    <row r="109" spans="1:5" s="6" customFormat="1" ht="12.75" outlineLevel="2">
      <c r="A109" s="202"/>
      <c r="B109" s="200"/>
      <c r="C109" s="183">
        <v>4120</v>
      </c>
      <c r="D109" s="187" t="s">
        <v>26</v>
      </c>
      <c r="E109" s="231">
        <v>4835</v>
      </c>
    </row>
    <row r="110" spans="1:5" s="6" customFormat="1" ht="12.75" outlineLevel="2">
      <c r="A110" s="202"/>
      <c r="B110" s="200"/>
      <c r="C110" s="183">
        <v>4210</v>
      </c>
      <c r="D110" s="187" t="s">
        <v>7</v>
      </c>
      <c r="E110" s="231">
        <v>4543</v>
      </c>
    </row>
    <row r="111" spans="1:5" s="6" customFormat="1" ht="12.75" outlineLevel="2">
      <c r="A111" s="202"/>
      <c r="B111" s="200"/>
      <c r="C111" s="183">
        <v>4300</v>
      </c>
      <c r="D111" s="187" t="s">
        <v>8</v>
      </c>
      <c r="E111" s="231">
        <v>635490</v>
      </c>
    </row>
    <row r="112" spans="1:5" s="6" customFormat="1" ht="12.75" outlineLevel="2">
      <c r="A112" s="202"/>
      <c r="B112" s="200"/>
      <c r="C112" s="183">
        <v>4410</v>
      </c>
      <c r="D112" s="187" t="s">
        <v>28</v>
      </c>
      <c r="E112" s="231">
        <v>33944</v>
      </c>
    </row>
    <row r="113" spans="1:9" s="3" customFormat="1" ht="12.75" outlineLevel="1">
      <c r="A113" s="220"/>
      <c r="B113" s="216">
        <v>75095</v>
      </c>
      <c r="C113" s="213"/>
      <c r="D113" s="278" t="s">
        <v>5</v>
      </c>
      <c r="E113" s="232">
        <f>SUM(E114:E125)</f>
        <v>751022</v>
      </c>
      <c r="F113" s="224">
        <f>'gmina własne'!E90</f>
        <v>751022</v>
      </c>
      <c r="H113" s="5"/>
      <c r="I113" s="5"/>
    </row>
    <row r="114" spans="1:9" s="6" customFormat="1" ht="22.5" outlineLevel="2">
      <c r="A114" s="202"/>
      <c r="B114" s="200"/>
      <c r="C114" s="183">
        <v>2820</v>
      </c>
      <c r="D114" s="279" t="s">
        <v>38</v>
      </c>
      <c r="E114" s="490">
        <f>'gmina własne'!E91</f>
        <v>6500</v>
      </c>
      <c r="G114" s="270"/>
      <c r="I114" s="5"/>
    </row>
    <row r="115" spans="1:9" s="6" customFormat="1" ht="12.75" outlineLevel="2">
      <c r="A115" s="202"/>
      <c r="B115" s="200"/>
      <c r="C115" s="183">
        <v>3020</v>
      </c>
      <c r="D115" s="279" t="s">
        <v>6</v>
      </c>
      <c r="E115" s="490">
        <f>'gmina własne'!E92</f>
        <v>1805</v>
      </c>
      <c r="G115" s="270"/>
      <c r="I115" s="5"/>
    </row>
    <row r="116" spans="1:9" s="6" customFormat="1" ht="12.75" outlineLevel="2">
      <c r="A116" s="202"/>
      <c r="B116" s="200"/>
      <c r="C116" s="183">
        <v>3030</v>
      </c>
      <c r="D116" s="279" t="s">
        <v>17</v>
      </c>
      <c r="E116" s="490">
        <f>'gmina własne'!E93</f>
        <v>169742</v>
      </c>
      <c r="G116" s="270"/>
      <c r="I116" s="5"/>
    </row>
    <row r="117" spans="1:9" s="6" customFormat="1" ht="12.75" outlineLevel="2">
      <c r="A117" s="202"/>
      <c r="B117" s="200"/>
      <c r="C117" s="183">
        <v>4110</v>
      </c>
      <c r="D117" s="279" t="s">
        <v>25</v>
      </c>
      <c r="E117" s="490">
        <f>'gmina własne'!E94</f>
        <v>2202</v>
      </c>
      <c r="G117" s="270"/>
      <c r="I117" s="5"/>
    </row>
    <row r="118" spans="1:9" s="6" customFormat="1" ht="12.75" outlineLevel="2">
      <c r="A118" s="202"/>
      <c r="B118" s="200"/>
      <c r="C118" s="183">
        <v>4120</v>
      </c>
      <c r="D118" s="279" t="s">
        <v>26</v>
      </c>
      <c r="E118" s="490">
        <f>'gmina własne'!E95</f>
        <v>188</v>
      </c>
      <c r="G118" s="270"/>
      <c r="I118" s="5"/>
    </row>
    <row r="119" spans="1:9" s="6" customFormat="1" ht="12.75" outlineLevel="2">
      <c r="A119" s="202"/>
      <c r="B119" s="200"/>
      <c r="C119" s="183">
        <v>4210</v>
      </c>
      <c r="D119" s="279" t="s">
        <v>7</v>
      </c>
      <c r="E119" s="490">
        <f>'gmina własne'!E96</f>
        <v>154426</v>
      </c>
      <c r="G119" s="270"/>
      <c r="I119" s="5"/>
    </row>
    <row r="120" spans="1:9" s="6" customFormat="1" ht="12.75" outlineLevel="2">
      <c r="A120" s="202"/>
      <c r="B120" s="200"/>
      <c r="C120" s="183">
        <v>4240</v>
      </c>
      <c r="D120" s="279" t="s">
        <v>39</v>
      </c>
      <c r="E120" s="490">
        <f>'gmina własne'!E97</f>
        <v>1400</v>
      </c>
      <c r="G120" s="270"/>
      <c r="I120" s="5"/>
    </row>
    <row r="121" spans="1:9" s="6" customFormat="1" ht="12.75" outlineLevel="2">
      <c r="A121" s="202"/>
      <c r="B121" s="200"/>
      <c r="C121" s="183">
        <v>4260</v>
      </c>
      <c r="D121" s="279" t="s">
        <v>27</v>
      </c>
      <c r="E121" s="490">
        <f>'gmina własne'!E98</f>
        <v>17221</v>
      </c>
      <c r="G121" s="270"/>
      <c r="I121" s="5"/>
    </row>
    <row r="122" spans="1:9" s="6" customFormat="1" ht="12.75" outlineLevel="2">
      <c r="A122" s="202"/>
      <c r="B122" s="200"/>
      <c r="C122" s="183">
        <v>4270</v>
      </c>
      <c r="D122" s="279" t="s">
        <v>2</v>
      </c>
      <c r="E122" s="490">
        <f>'gmina własne'!E99</f>
        <v>35799</v>
      </c>
      <c r="G122" s="270"/>
      <c r="I122" s="5"/>
    </row>
    <row r="123" spans="1:9" s="6" customFormat="1" ht="12.75" outlineLevel="2">
      <c r="A123" s="202"/>
      <c r="B123" s="200"/>
      <c r="C123" s="183">
        <v>4300</v>
      </c>
      <c r="D123" s="279" t="s">
        <v>8</v>
      </c>
      <c r="E123" s="490">
        <f>'gmina własne'!E100</f>
        <v>313936</v>
      </c>
      <c r="G123" s="270"/>
      <c r="I123" s="5"/>
    </row>
    <row r="124" spans="1:9" s="6" customFormat="1" ht="12.75" outlineLevel="2">
      <c r="A124" s="202"/>
      <c r="B124" s="200"/>
      <c r="C124" s="183">
        <v>4410</v>
      </c>
      <c r="D124" s="279" t="s">
        <v>28</v>
      </c>
      <c r="E124" s="490">
        <f>'gmina własne'!E101</f>
        <v>37803</v>
      </c>
      <c r="G124" s="270"/>
      <c r="I124" s="5"/>
    </row>
    <row r="125" spans="1:9" s="6" customFormat="1" ht="13.5" outlineLevel="2" thickBot="1">
      <c r="A125" s="202"/>
      <c r="B125" s="200"/>
      <c r="C125" s="183">
        <v>4610</v>
      </c>
      <c r="D125" s="279" t="s">
        <v>40</v>
      </c>
      <c r="E125" s="490">
        <f>'gmina własne'!E102</f>
        <v>10000</v>
      </c>
      <c r="G125" s="270"/>
      <c r="I125" s="5"/>
    </row>
    <row r="126" spans="1:6" ht="48" thickBot="1">
      <c r="A126" s="218">
        <v>751</v>
      </c>
      <c r="B126" s="214"/>
      <c r="C126" s="215"/>
      <c r="D126" s="219" t="s">
        <v>41</v>
      </c>
      <c r="E126" s="229">
        <f>E127+E132</f>
        <v>690753</v>
      </c>
      <c r="F126" s="516">
        <f>'gmina zlecone'!E20</f>
        <v>400753</v>
      </c>
    </row>
    <row r="127" spans="1:5" s="73" customFormat="1" ht="25.5">
      <c r="A127" s="254"/>
      <c r="B127" s="251">
        <v>75101</v>
      </c>
      <c r="C127" s="251"/>
      <c r="D127" s="255" t="s">
        <v>42</v>
      </c>
      <c r="E127" s="256">
        <f>SUM(E128:E131)</f>
        <v>83808</v>
      </c>
    </row>
    <row r="128" spans="1:6" ht="12" customHeight="1" outlineLevel="2">
      <c r="A128" s="202"/>
      <c r="B128" s="200"/>
      <c r="C128" s="183">
        <v>4010</v>
      </c>
      <c r="D128" s="222" t="s">
        <v>24</v>
      </c>
      <c r="E128" s="269">
        <f>'gmina zlecone'!E22</f>
        <v>66324</v>
      </c>
      <c r="F128" s="285"/>
    </row>
    <row r="129" spans="1:6" ht="12" customHeight="1" outlineLevel="2">
      <c r="A129" s="202"/>
      <c r="B129" s="200"/>
      <c r="C129" s="183">
        <v>4110</v>
      </c>
      <c r="D129" s="222" t="s">
        <v>25</v>
      </c>
      <c r="E129" s="269">
        <f>'gmina zlecone'!E23</f>
        <v>11859</v>
      </c>
      <c r="F129" s="285"/>
    </row>
    <row r="130" spans="1:6" ht="12" customHeight="1" outlineLevel="2">
      <c r="A130" s="202"/>
      <c r="B130" s="200"/>
      <c r="C130" s="183">
        <v>4120</v>
      </c>
      <c r="D130" s="222" t="s">
        <v>26</v>
      </c>
      <c r="E130" s="269">
        <f>'gmina zlecone'!E24</f>
        <v>1625</v>
      </c>
      <c r="F130" s="285"/>
    </row>
    <row r="131" spans="1:6" ht="12" customHeight="1" outlineLevel="2">
      <c r="A131" s="202"/>
      <c r="B131" s="200"/>
      <c r="C131" s="183">
        <v>4300</v>
      </c>
      <c r="D131" s="222" t="s">
        <v>8</v>
      </c>
      <c r="E131" s="269">
        <f>'gmina zlecone'!E25</f>
        <v>4000</v>
      </c>
      <c r="F131" s="285"/>
    </row>
    <row r="132" spans="1:5" s="17" customFormat="1" ht="25.5">
      <c r="A132" s="65"/>
      <c r="B132" s="117">
        <v>75109</v>
      </c>
      <c r="C132" s="34"/>
      <c r="D132" s="247" t="s">
        <v>404</v>
      </c>
      <c r="E132" s="35">
        <f>SUM(E133:E137)</f>
        <v>606945</v>
      </c>
    </row>
    <row r="133" spans="1:6" ht="12" customHeight="1" outlineLevel="2">
      <c r="A133" s="202"/>
      <c r="B133" s="200"/>
      <c r="C133" s="183" t="s">
        <v>400</v>
      </c>
      <c r="D133" s="222" t="s">
        <v>25</v>
      </c>
      <c r="E133" s="269">
        <v>15500</v>
      </c>
      <c r="F133" s="285"/>
    </row>
    <row r="134" spans="1:6" ht="12" customHeight="1" outlineLevel="2">
      <c r="A134" s="202"/>
      <c r="B134" s="200"/>
      <c r="C134" s="183" t="s">
        <v>401</v>
      </c>
      <c r="D134" s="222" t="s">
        <v>26</v>
      </c>
      <c r="E134" s="269">
        <v>2130</v>
      </c>
      <c r="F134" s="285"/>
    </row>
    <row r="135" spans="1:6" ht="12" customHeight="1" outlineLevel="2">
      <c r="A135" s="202"/>
      <c r="B135" s="200"/>
      <c r="C135" s="183" t="s">
        <v>399</v>
      </c>
      <c r="D135" s="222" t="s">
        <v>7</v>
      </c>
      <c r="E135" s="269">
        <f>20955+'gmina własne'!E105</f>
        <v>110955</v>
      </c>
      <c r="F135" s="285"/>
    </row>
    <row r="136" spans="1:6" ht="12" customHeight="1" outlineLevel="2">
      <c r="A136" s="202"/>
      <c r="B136" s="200"/>
      <c r="C136" s="183" t="s">
        <v>307</v>
      </c>
      <c r="D136" s="222" t="s">
        <v>8</v>
      </c>
      <c r="E136" s="269">
        <f>269385+'gmina własne'!E106</f>
        <v>469385</v>
      </c>
      <c r="F136" s="285"/>
    </row>
    <row r="137" spans="1:6" ht="12" customHeight="1" outlineLevel="2" thickBot="1">
      <c r="A137" s="202"/>
      <c r="B137" s="200"/>
      <c r="C137" s="183" t="s">
        <v>402</v>
      </c>
      <c r="D137" s="222" t="s">
        <v>28</v>
      </c>
      <c r="E137" s="269">
        <v>8975</v>
      </c>
      <c r="F137" s="285"/>
    </row>
    <row r="138" spans="1:10" s="3" customFormat="1" ht="16.5" thickBot="1">
      <c r="A138" s="190">
        <v>752</v>
      </c>
      <c r="B138" s="194"/>
      <c r="C138" s="182"/>
      <c r="D138" s="277" t="s">
        <v>43</v>
      </c>
      <c r="E138" s="229">
        <f>E139</f>
        <v>100000</v>
      </c>
      <c r="F138" s="224">
        <f>'gmina własne'!E107</f>
        <v>100000</v>
      </c>
      <c r="H138" s="5"/>
      <c r="I138" s="5"/>
      <c r="J138" s="5"/>
    </row>
    <row r="139" spans="1:9" s="3" customFormat="1" ht="12.75" outlineLevel="1">
      <c r="A139" s="220"/>
      <c r="B139" s="217">
        <v>75201</v>
      </c>
      <c r="C139" s="213"/>
      <c r="D139" s="278" t="s">
        <v>44</v>
      </c>
      <c r="E139" s="232">
        <f>E140</f>
        <v>100000</v>
      </c>
      <c r="F139" s="224"/>
      <c r="I139" s="5"/>
    </row>
    <row r="140" spans="1:9" s="6" customFormat="1" ht="13.5" outlineLevel="2" thickBot="1">
      <c r="A140" s="203"/>
      <c r="B140" s="273"/>
      <c r="C140" s="184">
        <v>3110</v>
      </c>
      <c r="D140" s="282" t="s">
        <v>45</v>
      </c>
      <c r="E140" s="492">
        <f>'gmina własne'!E109</f>
        <v>100000</v>
      </c>
      <c r="I140" s="5"/>
    </row>
    <row r="141" spans="1:10" s="3" customFormat="1" ht="32.25" thickBot="1">
      <c r="A141" s="190">
        <v>754</v>
      </c>
      <c r="B141" s="194"/>
      <c r="C141" s="182"/>
      <c r="D141" s="277" t="s">
        <v>46</v>
      </c>
      <c r="E141" s="229">
        <f>E142+E168+E155+E148</f>
        <v>14360980</v>
      </c>
      <c r="F141" s="224">
        <f>'gmina własne'!E110+'gmina zlecone'!E32+'powiat własny'!E18</f>
        <v>14360980</v>
      </c>
      <c r="H141" s="5"/>
      <c r="I141" s="5"/>
      <c r="J141" s="5"/>
    </row>
    <row r="142" spans="1:9" s="3" customFormat="1" ht="15" customHeight="1" outlineLevel="1">
      <c r="A142" s="220"/>
      <c r="B142" s="217">
        <v>75412</v>
      </c>
      <c r="C142" s="213"/>
      <c r="D142" s="278" t="s">
        <v>47</v>
      </c>
      <c r="E142" s="232">
        <f>SUM(E143:E147)</f>
        <v>77600</v>
      </c>
      <c r="F142" s="224"/>
      <c r="I142" s="5"/>
    </row>
    <row r="143" spans="1:9" s="6" customFormat="1" ht="12.75" outlineLevel="2">
      <c r="A143" s="202"/>
      <c r="B143" s="200"/>
      <c r="C143" s="183">
        <v>4210</v>
      </c>
      <c r="D143" s="279" t="s">
        <v>7</v>
      </c>
      <c r="E143" s="490">
        <v>35113</v>
      </c>
      <c r="I143" s="5"/>
    </row>
    <row r="144" spans="1:9" s="6" customFormat="1" ht="12.75" outlineLevel="2">
      <c r="A144" s="202"/>
      <c r="B144" s="200"/>
      <c r="C144" s="183">
        <v>4260</v>
      </c>
      <c r="D144" s="279" t="s">
        <v>27</v>
      </c>
      <c r="E144" s="490">
        <v>8850</v>
      </c>
      <c r="I144" s="5"/>
    </row>
    <row r="145" spans="1:9" s="6" customFormat="1" ht="12.75" outlineLevel="2">
      <c r="A145" s="202"/>
      <c r="B145" s="200"/>
      <c r="C145" s="183">
        <v>4270</v>
      </c>
      <c r="D145" s="279" t="s">
        <v>2</v>
      </c>
      <c r="E145" s="490">
        <v>12862</v>
      </c>
      <c r="I145" s="5"/>
    </row>
    <row r="146" spans="1:9" s="6" customFormat="1" ht="12.75" outlineLevel="2">
      <c r="A146" s="202"/>
      <c r="B146" s="200"/>
      <c r="C146" s="183">
        <v>4300</v>
      </c>
      <c r="D146" s="279" t="s">
        <v>8</v>
      </c>
      <c r="E146" s="490">
        <v>15094</v>
      </c>
      <c r="I146" s="5"/>
    </row>
    <row r="147" spans="1:5" s="6" customFormat="1" ht="13.5" outlineLevel="2" thickBot="1">
      <c r="A147" s="203"/>
      <c r="B147" s="209"/>
      <c r="C147" s="184">
        <v>4430</v>
      </c>
      <c r="D147" s="189" t="s">
        <v>9</v>
      </c>
      <c r="E147" s="235">
        <v>5681</v>
      </c>
    </row>
    <row r="148" spans="1:5" s="17" customFormat="1" ht="12.75">
      <c r="A148" s="431"/>
      <c r="B148" s="564">
        <v>75414</v>
      </c>
      <c r="C148" s="155"/>
      <c r="D148" s="565" t="s">
        <v>48</v>
      </c>
      <c r="E148" s="291">
        <f>SUM(E149:E154)</f>
        <v>4801030</v>
      </c>
    </row>
    <row r="149" spans="1:6" ht="12" customHeight="1" outlineLevel="2">
      <c r="A149" s="202"/>
      <c r="B149" s="200"/>
      <c r="C149" s="183">
        <v>4210</v>
      </c>
      <c r="D149" s="222" t="s">
        <v>7</v>
      </c>
      <c r="E149" s="269">
        <f>'powiat własny'!E20+'gmina zlecone'!E34</f>
        <v>5430</v>
      </c>
      <c r="F149" s="285"/>
    </row>
    <row r="150" spans="1:6" ht="12" customHeight="1" outlineLevel="2">
      <c r="A150" s="202"/>
      <c r="B150" s="200"/>
      <c r="C150" s="183">
        <v>4260</v>
      </c>
      <c r="D150" s="187" t="s">
        <v>27</v>
      </c>
      <c r="E150" s="269">
        <f>'powiat własny'!E21</f>
        <v>5780</v>
      </c>
      <c r="F150" s="285"/>
    </row>
    <row r="151" spans="1:6" ht="12" customHeight="1" outlineLevel="2">
      <c r="A151" s="202"/>
      <c r="B151" s="200"/>
      <c r="C151" s="183">
        <v>4270</v>
      </c>
      <c r="D151" s="187" t="s">
        <v>2</v>
      </c>
      <c r="E151" s="269">
        <f>'powiat własny'!E22</f>
        <v>94200</v>
      </c>
      <c r="F151" s="285"/>
    </row>
    <row r="152" spans="1:6" ht="12" customHeight="1" outlineLevel="2">
      <c r="A152" s="202"/>
      <c r="B152" s="200"/>
      <c r="C152" s="183">
        <v>4300</v>
      </c>
      <c r="D152" s="222" t="s">
        <v>8</v>
      </c>
      <c r="E152" s="269">
        <f>'powiat własny'!E23+'gmina zlecone'!E35</f>
        <v>36640</v>
      </c>
      <c r="F152" s="285"/>
    </row>
    <row r="153" spans="1:9" s="6" customFormat="1" ht="12.75" outlineLevel="2">
      <c r="A153" s="202"/>
      <c r="B153" s="200"/>
      <c r="C153" s="183">
        <v>4430</v>
      </c>
      <c r="D153" s="279" t="s">
        <v>9</v>
      </c>
      <c r="E153" s="490">
        <f>'gmina zlecone'!E36</f>
        <v>210</v>
      </c>
      <c r="I153" s="5"/>
    </row>
    <row r="154" spans="1:9" s="6" customFormat="1" ht="12.75" outlineLevel="2">
      <c r="A154" s="202"/>
      <c r="B154" s="200"/>
      <c r="C154" s="183">
        <v>6050</v>
      </c>
      <c r="D154" s="279" t="s">
        <v>35</v>
      </c>
      <c r="E154" s="490">
        <f>'powiat własny'!E24</f>
        <v>4658770</v>
      </c>
      <c r="I154" s="5"/>
    </row>
    <row r="155" spans="1:9" s="3" customFormat="1" ht="12.75" outlineLevel="1">
      <c r="A155" s="220"/>
      <c r="B155" s="216">
        <v>75416</v>
      </c>
      <c r="C155" s="213"/>
      <c r="D155" s="278" t="s">
        <v>123</v>
      </c>
      <c r="E155" s="232">
        <f>SUM(E156:E167)</f>
        <v>9348250</v>
      </c>
      <c r="F155" s="224"/>
      <c r="I155" s="5"/>
    </row>
    <row r="156" spans="1:9" s="6" customFormat="1" ht="12.75" outlineLevel="2">
      <c r="A156" s="202"/>
      <c r="B156" s="200"/>
      <c r="C156" s="183">
        <v>4010</v>
      </c>
      <c r="D156" s="279" t="s">
        <v>24</v>
      </c>
      <c r="E156" s="490">
        <v>6197910</v>
      </c>
      <c r="I156" s="5"/>
    </row>
    <row r="157" spans="1:9" s="6" customFormat="1" ht="12.75" outlineLevel="2">
      <c r="A157" s="202"/>
      <c r="B157" s="200"/>
      <c r="C157" s="183">
        <v>4040</v>
      </c>
      <c r="D157" s="279" t="s">
        <v>31</v>
      </c>
      <c r="E157" s="490">
        <v>475869</v>
      </c>
      <c r="I157" s="5"/>
    </row>
    <row r="158" spans="1:9" s="6" customFormat="1" ht="12.75" outlineLevel="2">
      <c r="A158" s="202"/>
      <c r="B158" s="200"/>
      <c r="C158" s="183">
        <v>4110</v>
      </c>
      <c r="D158" s="279" t="s">
        <v>25</v>
      </c>
      <c r="E158" s="490">
        <v>1188272</v>
      </c>
      <c r="I158" s="5"/>
    </row>
    <row r="159" spans="1:9" s="6" customFormat="1" ht="12.75" outlineLevel="2">
      <c r="A159" s="202"/>
      <c r="B159" s="200"/>
      <c r="C159" s="183">
        <v>4120</v>
      </c>
      <c r="D159" s="279" t="s">
        <v>26</v>
      </c>
      <c r="E159" s="490">
        <v>161980</v>
      </c>
      <c r="I159" s="5"/>
    </row>
    <row r="160" spans="1:9" s="6" customFormat="1" ht="12.75" outlineLevel="2">
      <c r="A160" s="202"/>
      <c r="B160" s="200"/>
      <c r="C160" s="183">
        <v>4210</v>
      </c>
      <c r="D160" s="279" t="s">
        <v>7</v>
      </c>
      <c r="E160" s="490">
        <v>489991</v>
      </c>
      <c r="I160" s="5"/>
    </row>
    <row r="161" spans="1:9" s="6" customFormat="1" ht="12.75" outlineLevel="2">
      <c r="A161" s="202"/>
      <c r="B161" s="200"/>
      <c r="C161" s="183">
        <v>4260</v>
      </c>
      <c r="D161" s="279" t="s">
        <v>27</v>
      </c>
      <c r="E161" s="490">
        <v>58303</v>
      </c>
      <c r="I161" s="5"/>
    </row>
    <row r="162" spans="1:9" s="6" customFormat="1" ht="12.75" outlineLevel="2">
      <c r="A162" s="202"/>
      <c r="B162" s="200"/>
      <c r="C162" s="183">
        <v>4270</v>
      </c>
      <c r="D162" s="279" t="s">
        <v>2</v>
      </c>
      <c r="E162" s="490">
        <v>122357</v>
      </c>
      <c r="I162" s="5"/>
    </row>
    <row r="163" spans="1:9" s="6" customFormat="1" ht="12.75" outlineLevel="2">
      <c r="A163" s="202"/>
      <c r="B163" s="200"/>
      <c r="C163" s="183">
        <v>4300</v>
      </c>
      <c r="D163" s="279" t="s">
        <v>8</v>
      </c>
      <c r="E163" s="490">
        <v>343395</v>
      </c>
      <c r="I163" s="5"/>
    </row>
    <row r="164" spans="1:9" s="6" customFormat="1" ht="12.75" outlineLevel="2">
      <c r="A164" s="202"/>
      <c r="B164" s="200"/>
      <c r="C164" s="183">
        <v>4410</v>
      </c>
      <c r="D164" s="279" t="s">
        <v>28</v>
      </c>
      <c r="E164" s="490">
        <v>12847</v>
      </c>
      <c r="I164" s="5"/>
    </row>
    <row r="165" spans="1:9" s="6" customFormat="1" ht="12.75" outlineLevel="2">
      <c r="A165" s="202"/>
      <c r="B165" s="200"/>
      <c r="C165" s="183">
        <v>4430</v>
      </c>
      <c r="D165" s="279" t="s">
        <v>9</v>
      </c>
      <c r="E165" s="490">
        <v>35066</v>
      </c>
      <c r="I165" s="5"/>
    </row>
    <row r="166" spans="1:9" s="6" customFormat="1" ht="12.75" outlineLevel="2">
      <c r="A166" s="202"/>
      <c r="B166" s="200"/>
      <c r="C166" s="183">
        <v>4440</v>
      </c>
      <c r="D166" s="279" t="s">
        <v>29</v>
      </c>
      <c r="E166" s="490">
        <v>172260</v>
      </c>
      <c r="I166" s="5"/>
    </row>
    <row r="167" spans="1:9" s="6" customFormat="1" ht="12.75" outlineLevel="2">
      <c r="A167" s="202"/>
      <c r="B167" s="200"/>
      <c r="C167" s="183">
        <v>6060</v>
      </c>
      <c r="D167" s="279" t="s">
        <v>36</v>
      </c>
      <c r="E167" s="490">
        <v>90000</v>
      </c>
      <c r="I167" s="5"/>
    </row>
    <row r="168" spans="1:9" s="3" customFormat="1" ht="12.75" outlineLevel="1">
      <c r="A168" s="220"/>
      <c r="B168" s="216">
        <v>75495</v>
      </c>
      <c r="C168" s="213"/>
      <c r="D168" s="278" t="s">
        <v>5</v>
      </c>
      <c r="E168" s="232">
        <f>SUM(E169:E172)</f>
        <v>134100</v>
      </c>
      <c r="F168" s="224"/>
      <c r="I168" s="5"/>
    </row>
    <row r="169" spans="1:9" s="6" customFormat="1" ht="12.75" outlineLevel="2">
      <c r="A169" s="202"/>
      <c r="B169" s="200"/>
      <c r="C169" s="183">
        <v>3020</v>
      </c>
      <c r="D169" s="279" t="s">
        <v>6</v>
      </c>
      <c r="E169" s="490">
        <f>'gmina własne'!E131</f>
        <v>15000</v>
      </c>
      <c r="I169" s="5"/>
    </row>
    <row r="170" spans="1:9" s="6" customFormat="1" ht="12.75" outlineLevel="2">
      <c r="A170" s="202"/>
      <c r="B170" s="200"/>
      <c r="C170" s="183">
        <v>3030</v>
      </c>
      <c r="D170" s="187" t="s">
        <v>152</v>
      </c>
      <c r="E170" s="490">
        <f>'powiat własny'!E26</f>
        <v>6100</v>
      </c>
      <c r="I170" s="5"/>
    </row>
    <row r="171" spans="1:9" s="6" customFormat="1" ht="12.75" outlineLevel="2">
      <c r="A171" s="202"/>
      <c r="B171" s="200"/>
      <c r="C171" s="183">
        <v>4210</v>
      </c>
      <c r="D171" s="279" t="s">
        <v>7</v>
      </c>
      <c r="E171" s="490">
        <f>'gmina własne'!E132+'powiat własny'!E27</f>
        <v>24960</v>
      </c>
      <c r="I171" s="5"/>
    </row>
    <row r="172" spans="1:9" s="6" customFormat="1" ht="13.5" outlineLevel="2" thickBot="1">
      <c r="A172" s="202"/>
      <c r="B172" s="200"/>
      <c r="C172" s="183">
        <v>4300</v>
      </c>
      <c r="D172" s="279" t="s">
        <v>8</v>
      </c>
      <c r="E172" s="490">
        <f>'gmina własne'!E133</f>
        <v>88040</v>
      </c>
      <c r="I172" s="5"/>
    </row>
    <row r="173" spans="1:10" s="3" customFormat="1" ht="16.5" thickBot="1">
      <c r="A173" s="190">
        <v>757</v>
      </c>
      <c r="B173" s="194"/>
      <c r="C173" s="182"/>
      <c r="D173" s="277" t="s">
        <v>49</v>
      </c>
      <c r="E173" s="229">
        <f>SUM(E174)</f>
        <v>43000000</v>
      </c>
      <c r="F173" s="224">
        <f>'gmina własne'!E134</f>
        <v>43000000</v>
      </c>
      <c r="H173" s="5"/>
      <c r="I173" s="5"/>
      <c r="J173" s="5"/>
    </row>
    <row r="174" spans="1:9" s="3" customFormat="1" ht="25.5" outlineLevel="1">
      <c r="A174" s="220"/>
      <c r="B174" s="217">
        <v>75702</v>
      </c>
      <c r="C174" s="213"/>
      <c r="D174" s="278" t="s">
        <v>50</v>
      </c>
      <c r="E174" s="232">
        <f>SUM(E175:E177)</f>
        <v>43000000</v>
      </c>
      <c r="F174" s="224"/>
      <c r="I174" s="5"/>
    </row>
    <row r="175" spans="1:9" s="6" customFormat="1" ht="12.75" outlineLevel="2">
      <c r="A175" s="202"/>
      <c r="B175" s="200"/>
      <c r="C175" s="183">
        <v>4300</v>
      </c>
      <c r="D175" s="279" t="s">
        <v>8</v>
      </c>
      <c r="E175" s="490">
        <f>'gmina własne'!E136</f>
        <v>600000</v>
      </c>
      <c r="I175" s="5"/>
    </row>
    <row r="176" spans="1:9" s="6" customFormat="1" ht="12.75" outlineLevel="2">
      <c r="A176" s="202"/>
      <c r="B176" s="200"/>
      <c r="C176" s="183">
        <v>4520</v>
      </c>
      <c r="D176" s="279" t="s">
        <v>240</v>
      </c>
      <c r="E176" s="490">
        <f>'gmina własne'!E137</f>
        <v>220000</v>
      </c>
      <c r="I176" s="5"/>
    </row>
    <row r="177" spans="1:9" s="6" customFormat="1" ht="23.25" outlineLevel="2" thickBot="1">
      <c r="A177" s="202"/>
      <c r="B177" s="200"/>
      <c r="C177" s="183">
        <v>8070</v>
      </c>
      <c r="D177" s="279" t="s">
        <v>51</v>
      </c>
      <c r="E177" s="490">
        <f>'gmina własne'!E138</f>
        <v>42180000</v>
      </c>
      <c r="I177" s="5"/>
    </row>
    <row r="178" spans="1:10" s="3" customFormat="1" ht="16.5" thickBot="1">
      <c r="A178" s="190">
        <v>758</v>
      </c>
      <c r="B178" s="194"/>
      <c r="C178" s="182"/>
      <c r="D178" s="277" t="s">
        <v>52</v>
      </c>
      <c r="E178" s="229">
        <f>SUM(E179+E181+E187)</f>
        <v>14769609</v>
      </c>
      <c r="F178" s="224">
        <f>'gmina własne'!E139</f>
        <v>14769609</v>
      </c>
      <c r="H178" s="5"/>
      <c r="I178" s="5"/>
      <c r="J178" s="5"/>
    </row>
    <row r="179" spans="1:9" s="3" customFormat="1" ht="12.75" outlineLevel="1">
      <c r="A179" s="220"/>
      <c r="B179" s="217">
        <v>75802</v>
      </c>
      <c r="C179" s="213"/>
      <c r="D179" s="278" t="s">
        <v>53</v>
      </c>
      <c r="E179" s="230">
        <f>SUM(E180)</f>
        <v>3391671</v>
      </c>
      <c r="F179" s="224"/>
      <c r="I179" s="5"/>
    </row>
    <row r="180" spans="1:9" s="6" customFormat="1" ht="22.5" outlineLevel="2">
      <c r="A180" s="202"/>
      <c r="B180" s="192"/>
      <c r="C180" s="183">
        <v>2930</v>
      </c>
      <c r="D180" s="279" t="s">
        <v>54</v>
      </c>
      <c r="E180" s="490">
        <f>'gmina własne'!E141</f>
        <v>3391671</v>
      </c>
      <c r="I180" s="5"/>
    </row>
    <row r="181" spans="1:9" s="3" customFormat="1" ht="13.5" customHeight="1" outlineLevel="1">
      <c r="A181" s="220"/>
      <c r="B181" s="216">
        <v>75814</v>
      </c>
      <c r="C181" s="213"/>
      <c r="D181" s="278" t="s">
        <v>55</v>
      </c>
      <c r="E181" s="230">
        <f>SUM(E182:E186)</f>
        <v>7276051</v>
      </c>
      <c r="F181" s="224"/>
      <c r="I181" s="5"/>
    </row>
    <row r="182" spans="1:9" s="6" customFormat="1" ht="12.75" outlineLevel="2">
      <c r="A182" s="202"/>
      <c r="B182" s="200"/>
      <c r="C182" s="183">
        <v>4100</v>
      </c>
      <c r="D182" s="279" t="s">
        <v>4</v>
      </c>
      <c r="E182" s="490">
        <f>'gmina własne'!E143</f>
        <v>20000</v>
      </c>
      <c r="I182" s="5"/>
    </row>
    <row r="183" spans="1:9" s="6" customFormat="1" ht="12.75" outlineLevel="2">
      <c r="A183" s="202"/>
      <c r="B183" s="200"/>
      <c r="C183" s="183">
        <v>4110</v>
      </c>
      <c r="D183" s="279" t="s">
        <v>25</v>
      </c>
      <c r="E183" s="490">
        <f>'gmina własne'!E144</f>
        <v>3000</v>
      </c>
      <c r="I183" s="5"/>
    </row>
    <row r="184" spans="1:9" s="6" customFormat="1" ht="12.75" outlineLevel="2">
      <c r="A184" s="202"/>
      <c r="B184" s="200"/>
      <c r="C184" s="183">
        <v>4120</v>
      </c>
      <c r="D184" s="279" t="s">
        <v>26</v>
      </c>
      <c r="E184" s="490">
        <f>'gmina własne'!E145</f>
        <v>1000</v>
      </c>
      <c r="I184" s="5"/>
    </row>
    <row r="185" spans="1:9" s="6" customFormat="1" ht="12.75" outlineLevel="2">
      <c r="A185" s="202"/>
      <c r="B185" s="200"/>
      <c r="C185" s="183">
        <v>4300</v>
      </c>
      <c r="D185" s="279" t="s">
        <v>8</v>
      </c>
      <c r="E185" s="490">
        <f>'gmina własne'!E146</f>
        <v>6917051</v>
      </c>
      <c r="I185" s="5"/>
    </row>
    <row r="186" spans="1:9" s="6" customFormat="1" ht="12.75" outlineLevel="2">
      <c r="A186" s="202"/>
      <c r="B186" s="200"/>
      <c r="C186" s="183">
        <v>4430</v>
      </c>
      <c r="D186" s="279" t="s">
        <v>9</v>
      </c>
      <c r="E186" s="490">
        <f>'gmina własne'!E147</f>
        <v>335000</v>
      </c>
      <c r="I186" s="5"/>
    </row>
    <row r="187" spans="1:9" s="3" customFormat="1" ht="12.75" outlineLevel="1">
      <c r="A187" s="220"/>
      <c r="B187" s="216">
        <v>75818</v>
      </c>
      <c r="C187" s="213"/>
      <c r="D187" s="278" t="s">
        <v>56</v>
      </c>
      <c r="E187" s="230">
        <f>SUM(E188:E188)</f>
        <v>4101887</v>
      </c>
      <c r="F187" s="224"/>
      <c r="I187" s="5"/>
    </row>
    <row r="188" spans="1:9" s="6" customFormat="1" ht="13.5" outlineLevel="2" thickBot="1">
      <c r="A188" s="202"/>
      <c r="B188" s="200"/>
      <c r="C188" s="183">
        <v>4810</v>
      </c>
      <c r="D188" s="279" t="s">
        <v>57</v>
      </c>
      <c r="E188" s="490">
        <f>'gmina własne'!E149</f>
        <v>4101887</v>
      </c>
      <c r="I188" s="5"/>
    </row>
    <row r="189" spans="1:10" s="3" customFormat="1" ht="16.5" thickBot="1">
      <c r="A189" s="190">
        <v>801</v>
      </c>
      <c r="B189" s="194"/>
      <c r="C189" s="182"/>
      <c r="D189" s="277" t="s">
        <v>59</v>
      </c>
      <c r="E189" s="229">
        <f>E190+E197+E200+E202+E207+E209+E211+E215+E217+E222+E224+E226</f>
        <v>21022420.729999997</v>
      </c>
      <c r="F189" s="224">
        <f>'gmina własne'!E150+'powiat własny'!E28+'powiat zlecone'!E18</f>
        <v>21022420.73</v>
      </c>
      <c r="G189" s="5"/>
      <c r="H189" s="5"/>
      <c r="I189" s="5"/>
      <c r="J189" s="5"/>
    </row>
    <row r="190" spans="1:9" s="3" customFormat="1" ht="12.75" outlineLevel="1">
      <c r="A190" s="236"/>
      <c r="B190" s="237">
        <v>80101</v>
      </c>
      <c r="C190" s="227"/>
      <c r="D190" s="283" t="s">
        <v>60</v>
      </c>
      <c r="E190" s="234">
        <f>SUM(E191:E196)</f>
        <v>3867556</v>
      </c>
      <c r="F190" s="224">
        <f>'gmina własne'!E151</f>
        <v>3867556</v>
      </c>
      <c r="I190" s="5"/>
    </row>
    <row r="191" spans="1:9" s="6" customFormat="1" ht="22.5" outlineLevel="2">
      <c r="A191" s="202"/>
      <c r="B191" s="200"/>
      <c r="C191" s="183">
        <v>2540</v>
      </c>
      <c r="D191" s="279" t="s">
        <v>61</v>
      </c>
      <c r="E191" s="490">
        <v>2768878</v>
      </c>
      <c r="I191" s="5"/>
    </row>
    <row r="192" spans="1:9" s="6" customFormat="1" ht="12.75" outlineLevel="2">
      <c r="A192" s="202"/>
      <c r="B192" s="200"/>
      <c r="C192" s="183">
        <v>4210</v>
      </c>
      <c r="D192" s="279" t="s">
        <v>7</v>
      </c>
      <c r="E192" s="490">
        <v>21516</v>
      </c>
      <c r="I192" s="5"/>
    </row>
    <row r="193" spans="1:9" s="6" customFormat="1" ht="12.75" outlineLevel="2">
      <c r="A193" s="202"/>
      <c r="B193" s="200"/>
      <c r="C193" s="183">
        <v>4300</v>
      </c>
      <c r="D193" s="279" t="s">
        <v>8</v>
      </c>
      <c r="E193" s="490">
        <v>16402</v>
      </c>
      <c r="I193" s="5"/>
    </row>
    <row r="194" spans="1:9" s="6" customFormat="1" ht="12.75" outlineLevel="2">
      <c r="A194" s="202"/>
      <c r="B194" s="200"/>
      <c r="C194" s="183">
        <v>4810</v>
      </c>
      <c r="D194" s="279" t="s">
        <v>57</v>
      </c>
      <c r="E194" s="490">
        <v>15700</v>
      </c>
      <c r="I194" s="5"/>
    </row>
    <row r="195" spans="1:9" s="6" customFormat="1" ht="12.75" outlineLevel="2">
      <c r="A195" s="202"/>
      <c r="B195" s="200"/>
      <c r="C195" s="183">
        <v>6050</v>
      </c>
      <c r="D195" s="279" t="s">
        <v>35</v>
      </c>
      <c r="E195" s="490">
        <v>995060</v>
      </c>
      <c r="I195" s="5"/>
    </row>
    <row r="196" spans="1:9" s="6" customFormat="1" ht="34.5" outlineLevel="2" thickBot="1">
      <c r="A196" s="203"/>
      <c r="B196" s="209"/>
      <c r="C196" s="184">
        <v>6230</v>
      </c>
      <c r="D196" s="282" t="s">
        <v>257</v>
      </c>
      <c r="E196" s="492">
        <v>50000</v>
      </c>
      <c r="I196" s="5"/>
    </row>
    <row r="197" spans="1:6" s="6" customFormat="1" ht="12.75" outlineLevel="2">
      <c r="A197" s="519"/>
      <c r="B197" s="191">
        <v>80102</v>
      </c>
      <c r="C197" s="520"/>
      <c r="D197" s="521" t="s">
        <v>62</v>
      </c>
      <c r="E197" s="234">
        <f>SUM(E198:E199)</f>
        <v>62140</v>
      </c>
      <c r="F197" s="8">
        <f>'powiat własny'!E29</f>
        <v>62140</v>
      </c>
    </row>
    <row r="198" spans="1:5" s="6" customFormat="1" ht="22.5" outlineLevel="2">
      <c r="A198" s="202"/>
      <c r="B198" s="200"/>
      <c r="C198" s="183">
        <v>2540</v>
      </c>
      <c r="D198" s="187" t="s">
        <v>61</v>
      </c>
      <c r="E198" s="231">
        <v>57140</v>
      </c>
    </row>
    <row r="199" spans="1:6" s="3" customFormat="1" ht="12.75" outlineLevel="1">
      <c r="A199" s="202"/>
      <c r="B199" s="200"/>
      <c r="C199" s="183">
        <v>6050</v>
      </c>
      <c r="D199" s="187" t="s">
        <v>35</v>
      </c>
      <c r="E199" s="231">
        <v>5000</v>
      </c>
      <c r="F199" s="224"/>
    </row>
    <row r="200" spans="1:9" s="3" customFormat="1" ht="12.75" outlineLevel="1">
      <c r="A200" s="220"/>
      <c r="B200" s="216">
        <v>80104</v>
      </c>
      <c r="C200" s="213"/>
      <c r="D200" s="278" t="s">
        <v>218</v>
      </c>
      <c r="E200" s="232">
        <f>SUM(E201:E201)</f>
        <v>186356</v>
      </c>
      <c r="F200" s="224">
        <f>'gmina własne'!E158</f>
        <v>186356</v>
      </c>
      <c r="I200" s="5"/>
    </row>
    <row r="201" spans="1:9" s="6" customFormat="1" ht="22.5" outlineLevel="2">
      <c r="A201" s="202"/>
      <c r="B201" s="200"/>
      <c r="C201" s="183">
        <v>2540</v>
      </c>
      <c r="D201" s="279" t="s">
        <v>61</v>
      </c>
      <c r="E201" s="490">
        <f>'gmina własne'!E159</f>
        <v>186356</v>
      </c>
      <c r="I201" s="5"/>
    </row>
    <row r="202" spans="1:9" s="3" customFormat="1" ht="12.75" outlineLevel="1">
      <c r="A202" s="220"/>
      <c r="B202" s="216">
        <v>80110</v>
      </c>
      <c r="C202" s="213"/>
      <c r="D202" s="278" t="s">
        <v>63</v>
      </c>
      <c r="E202" s="232">
        <f>SUM(E203:E206)</f>
        <v>5206988</v>
      </c>
      <c r="F202" s="224">
        <f>'gmina własne'!E160</f>
        <v>5206988</v>
      </c>
      <c r="I202" s="5"/>
    </row>
    <row r="203" spans="1:9" s="6" customFormat="1" ht="22.5" outlineLevel="2">
      <c r="A203" s="202"/>
      <c r="B203" s="200"/>
      <c r="C203" s="183">
        <v>2540</v>
      </c>
      <c r="D203" s="279" t="s">
        <v>61</v>
      </c>
      <c r="E203" s="490">
        <f>'gmina własne'!E161</f>
        <v>1777186</v>
      </c>
      <c r="I203" s="5"/>
    </row>
    <row r="204" spans="1:9" s="6" customFormat="1" ht="12.75" outlineLevel="2">
      <c r="A204" s="202"/>
      <c r="B204" s="200"/>
      <c r="C204" s="183">
        <v>4210</v>
      </c>
      <c r="D204" s="279" t="s">
        <v>7</v>
      </c>
      <c r="E204" s="490">
        <f>'gmina własne'!E162</f>
        <v>6000</v>
      </c>
      <c r="I204" s="5"/>
    </row>
    <row r="205" spans="1:9" s="6" customFormat="1" ht="12.75" outlineLevel="2">
      <c r="A205" s="202"/>
      <c r="B205" s="200"/>
      <c r="C205" s="183">
        <v>4300</v>
      </c>
      <c r="D205" s="279" t="s">
        <v>8</v>
      </c>
      <c r="E205" s="490">
        <f>'gmina własne'!E163</f>
        <v>1802</v>
      </c>
      <c r="I205" s="5"/>
    </row>
    <row r="206" spans="1:9" s="6" customFormat="1" ht="12.75" outlineLevel="2">
      <c r="A206" s="202"/>
      <c r="B206" s="200"/>
      <c r="C206" s="183">
        <v>6050</v>
      </c>
      <c r="D206" s="279" t="s">
        <v>35</v>
      </c>
      <c r="E206" s="490">
        <f>'gmina własne'!E164</f>
        <v>3422000</v>
      </c>
      <c r="I206" s="5"/>
    </row>
    <row r="207" spans="1:6" s="6" customFormat="1" ht="12.75" outlineLevel="2">
      <c r="A207" s="201"/>
      <c r="B207" s="193">
        <v>80111</v>
      </c>
      <c r="C207" s="72"/>
      <c r="D207" s="151" t="s">
        <v>64</v>
      </c>
      <c r="E207" s="274">
        <f>SUM(E208:E208)</f>
        <v>199921</v>
      </c>
      <c r="F207" s="8">
        <f>'powiat własny'!E34</f>
        <v>199921</v>
      </c>
    </row>
    <row r="208" spans="1:5" s="6" customFormat="1" ht="22.5" outlineLevel="2">
      <c r="A208" s="202"/>
      <c r="B208" s="200"/>
      <c r="C208" s="183">
        <v>2540</v>
      </c>
      <c r="D208" s="187" t="s">
        <v>61</v>
      </c>
      <c r="E208" s="231">
        <f>'powiat własny'!E35</f>
        <v>199921</v>
      </c>
    </row>
    <row r="209" spans="1:9" s="3" customFormat="1" ht="12.75" outlineLevel="1">
      <c r="A209" s="220"/>
      <c r="B209" s="216">
        <v>80113</v>
      </c>
      <c r="C209" s="213"/>
      <c r="D209" s="278" t="s">
        <v>65</v>
      </c>
      <c r="E209" s="232">
        <f>E210</f>
        <v>46122</v>
      </c>
      <c r="F209" s="224">
        <f>'gmina własne'!E165+'powiat własny'!E36</f>
        <v>46122</v>
      </c>
      <c r="I209" s="5"/>
    </row>
    <row r="210" spans="1:9" s="6" customFormat="1" ht="12.75" outlineLevel="2">
      <c r="A210" s="202"/>
      <c r="B210" s="192"/>
      <c r="C210" s="183">
        <v>4300</v>
      </c>
      <c r="D210" s="279" t="s">
        <v>8</v>
      </c>
      <c r="E210" s="493">
        <f>'gmina własne'!E166+'powiat własny'!E37</f>
        <v>46122</v>
      </c>
      <c r="I210" s="5"/>
    </row>
    <row r="211" spans="1:6" s="6" customFormat="1" ht="12.75" outlineLevel="2">
      <c r="A211" s="201"/>
      <c r="B211" s="193">
        <v>80120</v>
      </c>
      <c r="C211" s="72"/>
      <c r="D211" s="151" t="s">
        <v>66</v>
      </c>
      <c r="E211" s="239">
        <f>SUM(E212:E214)</f>
        <v>2821789</v>
      </c>
      <c r="F211" s="8">
        <f>'powiat własny'!E38</f>
        <v>2821789</v>
      </c>
    </row>
    <row r="212" spans="1:5" s="6" customFormat="1" ht="22.5" outlineLevel="2">
      <c r="A212" s="202"/>
      <c r="B212" s="200"/>
      <c r="C212" s="183">
        <v>2540</v>
      </c>
      <c r="D212" s="187" t="s">
        <v>61</v>
      </c>
      <c r="E212" s="231">
        <v>2681389</v>
      </c>
    </row>
    <row r="213" spans="1:5" s="6" customFormat="1" ht="12.75" outlineLevel="2">
      <c r="A213" s="202"/>
      <c r="B213" s="200"/>
      <c r="C213" s="183">
        <v>4810</v>
      </c>
      <c r="D213" s="187" t="s">
        <v>57</v>
      </c>
      <c r="E213" s="231">
        <f>'powiat własny'!E40</f>
        <v>30400</v>
      </c>
    </row>
    <row r="214" spans="1:5" s="6" customFormat="1" ht="12.75" outlineLevel="2">
      <c r="A214" s="202"/>
      <c r="B214" s="200"/>
      <c r="C214" s="183">
        <v>6050</v>
      </c>
      <c r="D214" s="187" t="s">
        <v>35</v>
      </c>
      <c r="E214" s="231">
        <f>'powiat własny'!E41</f>
        <v>110000</v>
      </c>
    </row>
    <row r="215" spans="1:6" s="6" customFormat="1" ht="12.75" outlineLevel="2">
      <c r="A215" s="201"/>
      <c r="B215" s="193">
        <v>80130</v>
      </c>
      <c r="C215" s="72"/>
      <c r="D215" s="151" t="s">
        <v>225</v>
      </c>
      <c r="E215" s="239">
        <f>SUM(E216:E216)</f>
        <v>2696634</v>
      </c>
      <c r="F215" s="8">
        <f>'powiat własny'!E42</f>
        <v>2696634</v>
      </c>
    </row>
    <row r="216" spans="1:5" s="6" customFormat="1" ht="22.5" outlineLevel="2">
      <c r="A216" s="202"/>
      <c r="B216" s="200"/>
      <c r="C216" s="183">
        <v>2540</v>
      </c>
      <c r="D216" s="187" t="s">
        <v>61</v>
      </c>
      <c r="E216" s="231">
        <f>'powiat własny'!E43</f>
        <v>2696634</v>
      </c>
    </row>
    <row r="217" spans="1:6" s="6" customFormat="1" ht="12.75" outlineLevel="2">
      <c r="A217" s="201"/>
      <c r="B217" s="193">
        <v>80132</v>
      </c>
      <c r="C217" s="72"/>
      <c r="D217" s="151" t="s">
        <v>67</v>
      </c>
      <c r="E217" s="560">
        <f>SUM(E218:E221)</f>
        <v>69118.69</v>
      </c>
      <c r="F217" s="8">
        <f>'powiat własny'!E47+'powiat zlecone'!E19</f>
        <v>69118.69</v>
      </c>
    </row>
    <row r="218" spans="1:6" s="3" customFormat="1" ht="12.75">
      <c r="A218" s="202"/>
      <c r="B218" s="200"/>
      <c r="C218" s="183">
        <v>4110</v>
      </c>
      <c r="D218" s="187" t="s">
        <v>25</v>
      </c>
      <c r="E218" s="424">
        <f>'powiat zlecone'!E20</f>
        <v>11.969999999999999</v>
      </c>
      <c r="F218" s="224"/>
    </row>
    <row r="219" spans="1:6" s="3" customFormat="1" ht="12.75">
      <c r="A219" s="202"/>
      <c r="B219" s="200"/>
      <c r="C219" s="183">
        <v>4120</v>
      </c>
      <c r="D219" s="187" t="s">
        <v>26</v>
      </c>
      <c r="E219" s="424">
        <f>'powiat zlecone'!E21</f>
        <v>1.72</v>
      </c>
      <c r="F219" s="224"/>
    </row>
    <row r="220" spans="1:6" s="3" customFormat="1" ht="12.75">
      <c r="A220" s="202"/>
      <c r="B220" s="200"/>
      <c r="C220" s="183">
        <v>4300</v>
      </c>
      <c r="D220" s="187" t="s">
        <v>8</v>
      </c>
      <c r="E220" s="424">
        <v>105</v>
      </c>
      <c r="F220" s="224"/>
    </row>
    <row r="221" spans="1:5" s="6" customFormat="1" ht="12.75" outlineLevel="2">
      <c r="A221" s="202"/>
      <c r="B221" s="200"/>
      <c r="C221" s="183">
        <v>4810</v>
      </c>
      <c r="D221" s="187" t="s">
        <v>57</v>
      </c>
      <c r="E221" s="231">
        <f>'powiat własny'!E48</f>
        <v>69000</v>
      </c>
    </row>
    <row r="222" spans="1:9" s="3" customFormat="1" ht="12.75" outlineLevel="1">
      <c r="A222" s="220"/>
      <c r="B222" s="216">
        <v>80133</v>
      </c>
      <c r="C222" s="213"/>
      <c r="D222" s="278" t="s">
        <v>68</v>
      </c>
      <c r="E222" s="232">
        <f>E223</f>
        <v>1902035</v>
      </c>
      <c r="F222" s="224">
        <f>'powiat własny'!E49</f>
        <v>1902035</v>
      </c>
      <c r="I222" s="5"/>
    </row>
    <row r="223" spans="1:5" s="6" customFormat="1" ht="22.5" outlineLevel="2">
      <c r="A223" s="202"/>
      <c r="B223" s="200"/>
      <c r="C223" s="183">
        <v>2540</v>
      </c>
      <c r="D223" s="187" t="s">
        <v>61</v>
      </c>
      <c r="E223" s="231">
        <v>1902035</v>
      </c>
    </row>
    <row r="224" spans="1:9" s="3" customFormat="1" ht="12.75" outlineLevel="1">
      <c r="A224" s="220"/>
      <c r="B224" s="216">
        <v>80146</v>
      </c>
      <c r="C224" s="213"/>
      <c r="D224" s="278" t="s">
        <v>248</v>
      </c>
      <c r="E224" s="232">
        <f>E225</f>
        <v>3741</v>
      </c>
      <c r="F224" s="224">
        <f>'gmina własne'!E167+'powiat własny'!E51</f>
        <v>3741</v>
      </c>
      <c r="I224" s="5"/>
    </row>
    <row r="225" spans="1:9" s="6" customFormat="1" ht="12.75" outlineLevel="2">
      <c r="A225" s="202"/>
      <c r="B225" s="192"/>
      <c r="C225" s="183">
        <v>4300</v>
      </c>
      <c r="D225" s="279" t="s">
        <v>8</v>
      </c>
      <c r="E225" s="493">
        <f>'gmina własne'!E168+'powiat własny'!E52</f>
        <v>3741</v>
      </c>
      <c r="I225" s="5"/>
    </row>
    <row r="226" spans="1:9" s="3" customFormat="1" ht="12.75" outlineLevel="1">
      <c r="A226" s="220"/>
      <c r="B226" s="216">
        <v>80195</v>
      </c>
      <c r="C226" s="213"/>
      <c r="D226" s="278" t="s">
        <v>5</v>
      </c>
      <c r="E226" s="232">
        <f>SUM(E227:E235)</f>
        <v>3960020.04</v>
      </c>
      <c r="F226" s="224">
        <f>'gmina własne'!E169+'powiat własny'!E53</f>
        <v>3960020.04</v>
      </c>
      <c r="I226" s="5"/>
    </row>
    <row r="227" spans="1:9" s="6" customFormat="1" ht="22.5" outlineLevel="2">
      <c r="A227" s="202"/>
      <c r="B227" s="200"/>
      <c r="C227" s="183">
        <v>2580</v>
      </c>
      <c r="D227" s="279" t="s">
        <v>70</v>
      </c>
      <c r="E227" s="490">
        <f>'gmina własne'!E170</f>
        <v>175000</v>
      </c>
      <c r="I227" s="5"/>
    </row>
    <row r="228" spans="1:9" s="6" customFormat="1" ht="12.75" outlineLevel="2">
      <c r="A228" s="202"/>
      <c r="B228" s="200"/>
      <c r="C228" s="183">
        <v>3020</v>
      </c>
      <c r="D228" s="279" t="s">
        <v>6</v>
      </c>
      <c r="E228" s="490">
        <f>'gmina własne'!E171</f>
        <v>95000</v>
      </c>
      <c r="I228" s="5"/>
    </row>
    <row r="229" spans="1:9" s="6" customFormat="1" ht="12.75" outlineLevel="2">
      <c r="A229" s="202"/>
      <c r="B229" s="200"/>
      <c r="C229" s="183">
        <v>4110</v>
      </c>
      <c r="D229" s="279" t="s">
        <v>25</v>
      </c>
      <c r="E229" s="490">
        <f>'gmina własne'!E172</f>
        <v>30428.75</v>
      </c>
      <c r="I229" s="5"/>
    </row>
    <row r="230" spans="1:9" s="6" customFormat="1" ht="12.75" outlineLevel="2">
      <c r="A230" s="202"/>
      <c r="B230" s="200"/>
      <c r="C230" s="183">
        <v>4120</v>
      </c>
      <c r="D230" s="279" t="s">
        <v>26</v>
      </c>
      <c r="E230" s="490">
        <f>'gmina własne'!E173</f>
        <v>4169.29</v>
      </c>
      <c r="I230" s="5"/>
    </row>
    <row r="231" spans="1:9" s="6" customFormat="1" ht="12.75" outlineLevel="2">
      <c r="A231" s="202"/>
      <c r="B231" s="200"/>
      <c r="C231" s="183">
        <v>4210</v>
      </c>
      <c r="D231" s="279" t="s">
        <v>7</v>
      </c>
      <c r="E231" s="490">
        <f>'gmina własne'!E174</f>
        <v>162284</v>
      </c>
      <c r="I231" s="5"/>
    </row>
    <row r="232" spans="1:9" s="6" customFormat="1" ht="12.75" outlineLevel="2">
      <c r="A232" s="202"/>
      <c r="B232" s="200"/>
      <c r="C232" s="183">
        <v>4300</v>
      </c>
      <c r="D232" s="279" t="s">
        <v>8</v>
      </c>
      <c r="E232" s="490">
        <f>'gmina własne'!E175</f>
        <v>477261</v>
      </c>
      <c r="I232" s="5"/>
    </row>
    <row r="233" spans="1:9" s="6" customFormat="1" ht="12.75" outlineLevel="2">
      <c r="A233" s="202"/>
      <c r="B233" s="200"/>
      <c r="C233" s="183">
        <v>4410</v>
      </c>
      <c r="D233" s="279" t="s">
        <v>28</v>
      </c>
      <c r="E233" s="490">
        <f>'gmina własne'!E176</f>
        <v>438</v>
      </c>
      <c r="I233" s="5"/>
    </row>
    <row r="234" spans="1:9" s="6" customFormat="1" ht="12.75" outlineLevel="2">
      <c r="A234" s="202"/>
      <c r="B234" s="200"/>
      <c r="C234" s="183">
        <v>4430</v>
      </c>
      <c r="D234" s="279" t="s">
        <v>9</v>
      </c>
      <c r="E234" s="490">
        <f>'gmina własne'!E177</f>
        <v>225469</v>
      </c>
      <c r="I234" s="5"/>
    </row>
    <row r="235" spans="1:9" s="6" customFormat="1" ht="13.5" outlineLevel="2" thickBot="1">
      <c r="A235" s="202"/>
      <c r="B235" s="200"/>
      <c r="C235" s="183">
        <v>4440</v>
      </c>
      <c r="D235" s="279" t="s">
        <v>29</v>
      </c>
      <c r="E235" s="490">
        <f>'gmina własne'!E178+'powiat własny'!E54</f>
        <v>2789970</v>
      </c>
      <c r="I235" s="5"/>
    </row>
    <row r="236" spans="1:10" s="3" customFormat="1" ht="16.5" thickBot="1">
      <c r="A236" s="190">
        <v>803</v>
      </c>
      <c r="B236" s="194"/>
      <c r="C236" s="182"/>
      <c r="D236" s="277" t="s">
        <v>268</v>
      </c>
      <c r="E236" s="229">
        <f>E237</f>
        <v>150000</v>
      </c>
      <c r="F236" s="224">
        <f>inwestycje!E159</f>
        <v>0</v>
      </c>
      <c r="H236" s="5"/>
      <c r="I236" s="5"/>
      <c r="J236" s="5"/>
    </row>
    <row r="237" spans="1:9" s="3" customFormat="1" ht="12.75" outlineLevel="1">
      <c r="A237" s="236"/>
      <c r="B237" s="237">
        <v>80395</v>
      </c>
      <c r="C237" s="227"/>
      <c r="D237" s="283" t="s">
        <v>5</v>
      </c>
      <c r="E237" s="234">
        <f>E238</f>
        <v>150000</v>
      </c>
      <c r="F237" s="224"/>
      <c r="I237" s="5"/>
    </row>
    <row r="238" spans="1:9" s="6" customFormat="1" ht="34.5" outlineLevel="2" thickBot="1">
      <c r="A238" s="202"/>
      <c r="B238" s="200"/>
      <c r="C238" s="183">
        <v>6220</v>
      </c>
      <c r="D238" s="279" t="s">
        <v>126</v>
      </c>
      <c r="E238" s="490">
        <v>150000</v>
      </c>
      <c r="I238" s="5"/>
    </row>
    <row r="239" spans="1:10" s="3" customFormat="1" ht="16.5" thickBot="1">
      <c r="A239" s="190">
        <v>851</v>
      </c>
      <c r="B239" s="194"/>
      <c r="C239" s="182"/>
      <c r="D239" s="277" t="s">
        <v>71</v>
      </c>
      <c r="E239" s="229">
        <f>E240+E244+E247+E250+E266+E268</f>
        <v>16410192</v>
      </c>
      <c r="F239" s="224">
        <f>'gmina własne'!E182+'powiat własny'!E55</f>
        <v>16410192</v>
      </c>
      <c r="H239" s="5"/>
      <c r="I239" s="5"/>
      <c r="J239" s="5"/>
    </row>
    <row r="240" spans="1:9" s="3" customFormat="1" ht="12.75" outlineLevel="1">
      <c r="A240" s="236"/>
      <c r="B240" s="217">
        <v>85111</v>
      </c>
      <c r="C240" s="227"/>
      <c r="D240" s="283" t="s">
        <v>72</v>
      </c>
      <c r="E240" s="234">
        <f>E243+E242+E241</f>
        <v>7875223</v>
      </c>
      <c r="F240" s="224"/>
      <c r="I240" s="5"/>
    </row>
    <row r="241" spans="1:9" s="6" customFormat="1" ht="22.5" outlineLevel="2">
      <c r="A241" s="202"/>
      <c r="B241" s="200"/>
      <c r="C241" s="183">
        <v>2560</v>
      </c>
      <c r="D241" s="279" t="s">
        <v>75</v>
      </c>
      <c r="E241" s="490">
        <v>86536</v>
      </c>
      <c r="I241" s="5"/>
    </row>
    <row r="242" spans="1:5" s="6" customFormat="1" ht="13.5" outlineLevel="2" thickBot="1">
      <c r="A242" s="203"/>
      <c r="B242" s="209"/>
      <c r="C242" s="184">
        <v>6050</v>
      </c>
      <c r="D242" s="189" t="s">
        <v>35</v>
      </c>
      <c r="E242" s="527">
        <f>'powiat własny'!E57</f>
        <v>4183607</v>
      </c>
    </row>
    <row r="243" spans="1:5" s="6" customFormat="1" ht="33.75" outlineLevel="2">
      <c r="A243" s="206"/>
      <c r="B243" s="566"/>
      <c r="C243" s="208">
        <v>6220</v>
      </c>
      <c r="D243" s="499" t="s">
        <v>126</v>
      </c>
      <c r="E243" s="597">
        <f>'gmina własne'!E185</f>
        <v>3605080</v>
      </c>
    </row>
    <row r="244" spans="1:9" s="3" customFormat="1" ht="12.75" outlineLevel="1">
      <c r="A244" s="220"/>
      <c r="B244" s="216">
        <v>85117</v>
      </c>
      <c r="C244" s="213"/>
      <c r="D244" s="278" t="s">
        <v>73</v>
      </c>
      <c r="E244" s="230">
        <f>E246+E245</f>
        <v>107044</v>
      </c>
      <c r="F244" s="224"/>
      <c r="I244" s="5"/>
    </row>
    <row r="245" spans="1:5" s="6" customFormat="1" ht="22.5" outlineLevel="2">
      <c r="A245" s="202"/>
      <c r="B245" s="555"/>
      <c r="C245" s="183">
        <v>2560</v>
      </c>
      <c r="D245" s="187" t="s">
        <v>75</v>
      </c>
      <c r="E245" s="233">
        <v>43989</v>
      </c>
    </row>
    <row r="246" spans="1:5" s="6" customFormat="1" ht="33.75" outlineLevel="2">
      <c r="A246" s="202"/>
      <c r="B246" s="517"/>
      <c r="C246" s="183">
        <v>6220</v>
      </c>
      <c r="D246" s="187" t="s">
        <v>126</v>
      </c>
      <c r="E246" s="233">
        <v>63055</v>
      </c>
    </row>
    <row r="247" spans="1:9" s="3" customFormat="1" ht="12.75" outlineLevel="1">
      <c r="A247" s="220"/>
      <c r="B247" s="216">
        <v>85121</v>
      </c>
      <c r="C247" s="213"/>
      <c r="D247" s="278" t="s">
        <v>266</v>
      </c>
      <c r="E247" s="230">
        <f>E248+E249</f>
        <v>52645</v>
      </c>
      <c r="F247" s="224"/>
      <c r="I247" s="5"/>
    </row>
    <row r="248" spans="1:5" s="6" customFormat="1" ht="22.5" outlineLevel="2">
      <c r="A248" s="202"/>
      <c r="B248" s="555"/>
      <c r="C248" s="183">
        <v>2560</v>
      </c>
      <c r="D248" s="187" t="s">
        <v>75</v>
      </c>
      <c r="E248" s="233">
        <v>21634</v>
      </c>
    </row>
    <row r="249" spans="1:5" s="6" customFormat="1" ht="33.75" outlineLevel="2">
      <c r="A249" s="202"/>
      <c r="B249" s="517"/>
      <c r="C249" s="183">
        <v>6220</v>
      </c>
      <c r="D249" s="187" t="s">
        <v>126</v>
      </c>
      <c r="E249" s="233">
        <v>31011</v>
      </c>
    </row>
    <row r="250" spans="1:9" s="3" customFormat="1" ht="12.75" outlineLevel="1">
      <c r="A250" s="220"/>
      <c r="B250" s="217">
        <v>85154</v>
      </c>
      <c r="C250" s="213"/>
      <c r="D250" s="278" t="s">
        <v>74</v>
      </c>
      <c r="E250" s="230">
        <f>SUM(E251:E265)</f>
        <v>6695297</v>
      </c>
      <c r="F250" s="224"/>
      <c r="I250" s="5"/>
    </row>
    <row r="251" spans="1:9" s="6" customFormat="1" ht="22.5" outlineLevel="2">
      <c r="A251" s="202"/>
      <c r="B251" s="200"/>
      <c r="C251" s="183">
        <v>2560</v>
      </c>
      <c r="D251" s="279" t="s">
        <v>75</v>
      </c>
      <c r="E251" s="490">
        <v>554119</v>
      </c>
      <c r="I251" s="5"/>
    </row>
    <row r="252" spans="1:9" s="6" customFormat="1" ht="22.5" outlineLevel="2">
      <c r="A252" s="202"/>
      <c r="B252" s="200"/>
      <c r="C252" s="183">
        <v>2810</v>
      </c>
      <c r="D252" s="279" t="s">
        <v>76</v>
      </c>
      <c r="E252" s="490">
        <v>300000</v>
      </c>
      <c r="I252" s="5"/>
    </row>
    <row r="253" spans="1:9" s="6" customFormat="1" ht="22.5" outlineLevel="2">
      <c r="A253" s="202"/>
      <c r="B253" s="200"/>
      <c r="C253" s="183">
        <v>2820</v>
      </c>
      <c r="D253" s="279" t="s">
        <v>38</v>
      </c>
      <c r="E253" s="490">
        <v>1950000</v>
      </c>
      <c r="I253" s="5"/>
    </row>
    <row r="254" spans="1:9" s="6" customFormat="1" ht="33.75" outlineLevel="2">
      <c r="A254" s="202"/>
      <c r="B254" s="200"/>
      <c r="C254" s="183">
        <v>2830</v>
      </c>
      <c r="D254" s="279" t="s">
        <v>77</v>
      </c>
      <c r="E254" s="490">
        <v>700000</v>
      </c>
      <c r="I254" s="5"/>
    </row>
    <row r="255" spans="1:9" s="6" customFormat="1" ht="12.75" outlineLevel="2">
      <c r="A255" s="202"/>
      <c r="B255" s="200"/>
      <c r="C255" s="183">
        <v>3030</v>
      </c>
      <c r="D255" s="279" t="s">
        <v>17</v>
      </c>
      <c r="E255" s="490">
        <v>307190</v>
      </c>
      <c r="I255" s="5"/>
    </row>
    <row r="256" spans="1:9" s="6" customFormat="1" ht="12.75" outlineLevel="2">
      <c r="A256" s="202"/>
      <c r="B256" s="200"/>
      <c r="C256" s="183">
        <v>4110</v>
      </c>
      <c r="D256" s="279" t="s">
        <v>25</v>
      </c>
      <c r="E256" s="490">
        <v>64500</v>
      </c>
      <c r="I256" s="5"/>
    </row>
    <row r="257" spans="1:9" s="6" customFormat="1" ht="12.75" outlineLevel="2">
      <c r="A257" s="202"/>
      <c r="B257" s="200"/>
      <c r="C257" s="183">
        <v>4120</v>
      </c>
      <c r="D257" s="279" t="s">
        <v>26</v>
      </c>
      <c r="E257" s="490">
        <v>8820</v>
      </c>
      <c r="I257" s="5"/>
    </row>
    <row r="258" spans="1:9" s="6" customFormat="1" ht="12.75" outlineLevel="2">
      <c r="A258" s="202"/>
      <c r="B258" s="200"/>
      <c r="C258" s="183">
        <v>4210</v>
      </c>
      <c r="D258" s="279" t="s">
        <v>7</v>
      </c>
      <c r="E258" s="490">
        <v>185817</v>
      </c>
      <c r="I258" s="5"/>
    </row>
    <row r="259" spans="1:9" s="6" customFormat="1" ht="12.75" outlineLevel="2">
      <c r="A259" s="202"/>
      <c r="B259" s="200"/>
      <c r="C259" s="183">
        <v>4220</v>
      </c>
      <c r="D259" s="279" t="s">
        <v>267</v>
      </c>
      <c r="E259" s="490">
        <v>52340</v>
      </c>
      <c r="I259" s="5"/>
    </row>
    <row r="260" spans="1:9" s="6" customFormat="1" ht="12.75" outlineLevel="2">
      <c r="A260" s="202"/>
      <c r="B260" s="200"/>
      <c r="C260" s="183">
        <v>4240</v>
      </c>
      <c r="D260" s="279" t="s">
        <v>39</v>
      </c>
      <c r="E260" s="490">
        <v>72666</v>
      </c>
      <c r="I260" s="5"/>
    </row>
    <row r="261" spans="1:9" s="6" customFormat="1" ht="12.75" outlineLevel="2">
      <c r="A261" s="202"/>
      <c r="B261" s="200"/>
      <c r="C261" s="183">
        <v>4270</v>
      </c>
      <c r="D261" s="279" t="s">
        <v>2</v>
      </c>
      <c r="E261" s="490">
        <v>84600</v>
      </c>
      <c r="I261" s="5"/>
    </row>
    <row r="262" spans="1:9" s="6" customFormat="1" ht="12.75" outlineLevel="2">
      <c r="A262" s="202"/>
      <c r="B262" s="200"/>
      <c r="C262" s="183">
        <v>4280</v>
      </c>
      <c r="D262" s="279" t="s">
        <v>78</v>
      </c>
      <c r="E262" s="490">
        <v>380000</v>
      </c>
      <c r="I262" s="5"/>
    </row>
    <row r="263" spans="1:9" s="6" customFormat="1" ht="12.75" outlineLevel="2">
      <c r="A263" s="202"/>
      <c r="B263" s="200"/>
      <c r="C263" s="183">
        <v>4300</v>
      </c>
      <c r="D263" s="279" t="s">
        <v>8</v>
      </c>
      <c r="E263" s="490">
        <v>1735935</v>
      </c>
      <c r="I263" s="5"/>
    </row>
    <row r="264" spans="1:9" s="6" customFormat="1" ht="12.75" outlineLevel="2">
      <c r="A264" s="202"/>
      <c r="B264" s="200"/>
      <c r="C264" s="183">
        <v>4610</v>
      </c>
      <c r="D264" s="279" t="s">
        <v>237</v>
      </c>
      <c r="E264" s="490">
        <v>2810</v>
      </c>
      <c r="I264" s="5"/>
    </row>
    <row r="265" spans="1:9" s="6" customFormat="1" ht="33.75" outlineLevel="2">
      <c r="A265" s="202"/>
      <c r="B265" s="200"/>
      <c r="C265" s="183">
        <v>6220</v>
      </c>
      <c r="D265" s="279" t="s">
        <v>126</v>
      </c>
      <c r="E265" s="490">
        <v>296500</v>
      </c>
      <c r="I265" s="5"/>
    </row>
    <row r="266" spans="1:9" s="3" customFormat="1" ht="12.75" outlineLevel="1">
      <c r="A266" s="220"/>
      <c r="B266" s="216">
        <v>85158</v>
      </c>
      <c r="C266" s="213"/>
      <c r="D266" s="278" t="s">
        <v>127</v>
      </c>
      <c r="E266" s="230">
        <f>E267</f>
        <v>513783</v>
      </c>
      <c r="F266" s="224"/>
      <c r="I266" s="5"/>
    </row>
    <row r="267" spans="1:9" s="6" customFormat="1" ht="22.5" outlineLevel="2">
      <c r="A267" s="202"/>
      <c r="B267" s="200"/>
      <c r="C267" s="183">
        <v>2610</v>
      </c>
      <c r="D267" s="279" t="s">
        <v>195</v>
      </c>
      <c r="E267" s="490">
        <f>'gmina własne'!E206</f>
        <v>513783</v>
      </c>
      <c r="I267" s="5"/>
    </row>
    <row r="268" spans="1:9" s="3" customFormat="1" ht="12.75" outlineLevel="1">
      <c r="A268" s="220"/>
      <c r="B268" s="216">
        <v>85195</v>
      </c>
      <c r="C268" s="213"/>
      <c r="D268" s="278" t="s">
        <v>5</v>
      </c>
      <c r="E268" s="230">
        <f>SUM(E269:E276)</f>
        <v>1166200</v>
      </c>
      <c r="F268" s="224"/>
      <c r="I268" s="5"/>
    </row>
    <row r="269" spans="1:9" s="6" customFormat="1" ht="22.5" outlineLevel="2">
      <c r="A269" s="202"/>
      <c r="B269" s="200"/>
      <c r="C269" s="183">
        <v>2560</v>
      </c>
      <c r="D269" s="279" t="s">
        <v>75</v>
      </c>
      <c r="E269" s="490">
        <f>'gmina własne'!E208</f>
        <v>200000</v>
      </c>
      <c r="I269" s="5"/>
    </row>
    <row r="270" spans="1:9" s="6" customFormat="1" ht="22.5" outlineLevel="2">
      <c r="A270" s="202"/>
      <c r="B270" s="200"/>
      <c r="C270" s="183">
        <v>2580</v>
      </c>
      <c r="D270" s="279" t="s">
        <v>70</v>
      </c>
      <c r="E270" s="490">
        <f>'gmina własne'!E209</f>
        <v>514000</v>
      </c>
      <c r="I270" s="5"/>
    </row>
    <row r="271" spans="1:9" s="6" customFormat="1" ht="12.75" outlineLevel="2">
      <c r="A271" s="202"/>
      <c r="B271" s="200"/>
      <c r="C271" s="183">
        <v>3020</v>
      </c>
      <c r="D271" s="279" t="s">
        <v>6</v>
      </c>
      <c r="E271" s="490">
        <f>'gmina własne'!E210</f>
        <v>20000</v>
      </c>
      <c r="I271" s="5"/>
    </row>
    <row r="272" spans="1:9" s="6" customFormat="1" ht="12.75" outlineLevel="2">
      <c r="A272" s="202"/>
      <c r="B272" s="200"/>
      <c r="C272" s="183">
        <v>4280</v>
      </c>
      <c r="D272" s="279" t="s">
        <v>78</v>
      </c>
      <c r="E272" s="490">
        <f>'gmina własne'!E211</f>
        <v>85000</v>
      </c>
      <c r="I272" s="5"/>
    </row>
    <row r="273" spans="1:9" s="6" customFormat="1" ht="12.75" outlineLevel="2">
      <c r="A273" s="202"/>
      <c r="B273" s="200"/>
      <c r="C273" s="183">
        <v>4300</v>
      </c>
      <c r="D273" s="279" t="s">
        <v>8</v>
      </c>
      <c r="E273" s="490">
        <f>'gmina własne'!E212</f>
        <v>303500</v>
      </c>
      <c r="I273" s="5"/>
    </row>
    <row r="274" spans="1:9" s="6" customFormat="1" ht="12.75" outlineLevel="2">
      <c r="A274" s="202"/>
      <c r="B274" s="200"/>
      <c r="C274" s="183">
        <v>4430</v>
      </c>
      <c r="D274" s="279" t="s">
        <v>9</v>
      </c>
      <c r="E274" s="490">
        <f>'gmina własne'!E213</f>
        <v>7500</v>
      </c>
      <c r="I274" s="5"/>
    </row>
    <row r="275" spans="1:9" s="6" customFormat="1" ht="12.75" outlineLevel="2">
      <c r="A275" s="202"/>
      <c r="B275" s="200"/>
      <c r="C275" s="183">
        <v>4540</v>
      </c>
      <c r="D275" s="279" t="s">
        <v>79</v>
      </c>
      <c r="E275" s="490">
        <f>'gmina własne'!E214</f>
        <v>15500</v>
      </c>
      <c r="I275" s="5"/>
    </row>
    <row r="276" spans="1:9" s="6" customFormat="1" ht="34.5" outlineLevel="2" thickBot="1">
      <c r="A276" s="202"/>
      <c r="B276" s="200"/>
      <c r="C276" s="183">
        <v>6220</v>
      </c>
      <c r="D276" s="279" t="s">
        <v>126</v>
      </c>
      <c r="E276" s="490">
        <v>20700</v>
      </c>
      <c r="I276" s="5"/>
    </row>
    <row r="277" spans="1:10" s="3" customFormat="1" ht="16.5" thickBot="1">
      <c r="A277" s="190">
        <v>853</v>
      </c>
      <c r="B277" s="194"/>
      <c r="C277" s="182"/>
      <c r="D277" s="277" t="s">
        <v>80</v>
      </c>
      <c r="E277" s="229">
        <f>E291+E289+E287+E285+E280+E278+E282</f>
        <v>8628948</v>
      </c>
      <c r="F277" s="224">
        <f>'gmina własne'!E216+'powiat zlecone'!E23+'powiat własny'!E61</f>
        <v>8628948</v>
      </c>
      <c r="H277" s="5"/>
      <c r="I277" s="5"/>
      <c r="J277" s="5"/>
    </row>
    <row r="278" spans="1:5" s="6" customFormat="1" ht="12.75" outlineLevel="2">
      <c r="A278" s="201"/>
      <c r="B278" s="193">
        <v>85301</v>
      </c>
      <c r="C278" s="72"/>
      <c r="D278" s="151" t="s">
        <v>81</v>
      </c>
      <c r="E278" s="239">
        <f>E279</f>
        <v>825678</v>
      </c>
    </row>
    <row r="279" spans="1:5" s="6" customFormat="1" ht="22.5" outlineLevel="2">
      <c r="A279" s="202"/>
      <c r="B279" s="192"/>
      <c r="C279" s="183">
        <v>2580</v>
      </c>
      <c r="D279" s="187" t="s">
        <v>70</v>
      </c>
      <c r="E279" s="231">
        <f>'powiat własny'!E63</f>
        <v>825678</v>
      </c>
    </row>
    <row r="280" spans="1:5" s="6" customFormat="1" ht="12.75" outlineLevel="2">
      <c r="A280" s="201"/>
      <c r="B280" s="193">
        <v>85302</v>
      </c>
      <c r="C280" s="72"/>
      <c r="D280" s="151" t="s">
        <v>82</v>
      </c>
      <c r="E280" s="274">
        <f>E281</f>
        <v>3220000</v>
      </c>
    </row>
    <row r="281" spans="1:6" s="3" customFormat="1" ht="23.25" outlineLevel="1" thickBot="1">
      <c r="A281" s="203"/>
      <c r="B281" s="199"/>
      <c r="C281" s="184">
        <v>2580</v>
      </c>
      <c r="D281" s="189" t="s">
        <v>70</v>
      </c>
      <c r="E281" s="235">
        <f>'powiat własny'!E65</f>
        <v>3220000</v>
      </c>
      <c r="F281" s="224"/>
    </row>
    <row r="282" spans="1:5" s="3" customFormat="1" ht="14.25" customHeight="1" outlineLevel="1">
      <c r="A282" s="598"/>
      <c r="B282" s="191">
        <v>85303</v>
      </c>
      <c r="C282" s="191"/>
      <c r="D282" s="521" t="s">
        <v>83</v>
      </c>
      <c r="E282" s="599">
        <f>SUM(E283:E284)</f>
        <v>428200</v>
      </c>
    </row>
    <row r="283" spans="1:6" s="3" customFormat="1" ht="22.5">
      <c r="A283" s="202"/>
      <c r="B283" s="200"/>
      <c r="C283" s="183">
        <v>2820</v>
      </c>
      <c r="D283" s="187" t="s">
        <v>38</v>
      </c>
      <c r="E283" s="231">
        <f>'powiat zlecone'!E25</f>
        <v>376200</v>
      </c>
      <c r="F283" s="224"/>
    </row>
    <row r="284" spans="1:6" s="3" customFormat="1" ht="12.75">
      <c r="A284" s="202"/>
      <c r="B284" s="200"/>
      <c r="C284" s="183">
        <v>6060</v>
      </c>
      <c r="D284" s="187" t="s">
        <v>36</v>
      </c>
      <c r="E284" s="231">
        <f>'powiat zlecone'!E26</f>
        <v>52000</v>
      </c>
      <c r="F284" s="224"/>
    </row>
    <row r="285" spans="1:5" s="6" customFormat="1" ht="12.75" outlineLevel="2">
      <c r="A285" s="201"/>
      <c r="B285" s="193">
        <v>85326</v>
      </c>
      <c r="C285" s="72"/>
      <c r="D285" s="151" t="s">
        <v>84</v>
      </c>
      <c r="E285" s="274">
        <f>E286</f>
        <v>74680</v>
      </c>
    </row>
    <row r="286" spans="1:6" s="3" customFormat="1" ht="22.5">
      <c r="A286" s="202"/>
      <c r="B286" s="200"/>
      <c r="C286" s="183">
        <v>2580</v>
      </c>
      <c r="D286" s="187" t="s">
        <v>70</v>
      </c>
      <c r="E286" s="231">
        <f>'powiat własny'!E67</f>
        <v>74680</v>
      </c>
      <c r="F286" s="224"/>
    </row>
    <row r="287" spans="1:5" s="6" customFormat="1" ht="12.75" outlineLevel="2">
      <c r="A287" s="201"/>
      <c r="B287" s="193">
        <v>85333</v>
      </c>
      <c r="C287" s="72"/>
      <c r="D287" s="151" t="s">
        <v>239</v>
      </c>
      <c r="E287" s="274">
        <f>E288</f>
        <v>50000</v>
      </c>
    </row>
    <row r="288" spans="1:6" s="3" customFormat="1" ht="33.75">
      <c r="A288" s="202"/>
      <c r="B288" s="200"/>
      <c r="C288" s="183">
        <v>2320</v>
      </c>
      <c r="D288" s="187" t="s">
        <v>256</v>
      </c>
      <c r="E288" s="231">
        <f>'powiat własny'!E69</f>
        <v>50000</v>
      </c>
      <c r="F288" s="224"/>
    </row>
    <row r="289" spans="1:5" s="6" customFormat="1" ht="12.75" outlineLevel="2">
      <c r="A289" s="201"/>
      <c r="B289" s="193">
        <v>85334</v>
      </c>
      <c r="C289" s="72"/>
      <c r="D289" s="151" t="s">
        <v>253</v>
      </c>
      <c r="E289" s="274">
        <f>E290</f>
        <v>129741</v>
      </c>
    </row>
    <row r="290" spans="1:5" s="6" customFormat="1" ht="12.75" outlineLevel="2">
      <c r="A290" s="202"/>
      <c r="B290" s="192"/>
      <c r="C290" s="183">
        <v>3110</v>
      </c>
      <c r="D290" s="187" t="s">
        <v>45</v>
      </c>
      <c r="E290" s="231">
        <f>'powiat własny'!E71+'powiat zlecone'!E28</f>
        <v>129741</v>
      </c>
    </row>
    <row r="291" spans="1:9" s="3" customFormat="1" ht="12.75" outlineLevel="1">
      <c r="A291" s="220"/>
      <c r="B291" s="216">
        <v>85395</v>
      </c>
      <c r="C291" s="213"/>
      <c r="D291" s="278" t="s">
        <v>5</v>
      </c>
      <c r="E291" s="230">
        <f>SUM(E292:E299)</f>
        <v>3900649</v>
      </c>
      <c r="F291" s="224"/>
      <c r="I291" s="5"/>
    </row>
    <row r="292" spans="1:9" s="6" customFormat="1" ht="22.5" outlineLevel="2">
      <c r="A292" s="202"/>
      <c r="B292" s="200"/>
      <c r="C292" s="183">
        <v>2580</v>
      </c>
      <c r="D292" s="279" t="s">
        <v>70</v>
      </c>
      <c r="E292" s="490">
        <f>'gmina własne'!E218+'powiat własny'!E73</f>
        <v>3182068</v>
      </c>
      <c r="I292" s="5"/>
    </row>
    <row r="293" spans="1:9" s="6" customFormat="1" ht="22.5" outlineLevel="2">
      <c r="A293" s="202"/>
      <c r="B293" s="200"/>
      <c r="C293" s="183">
        <v>2630</v>
      </c>
      <c r="D293" s="279" t="s">
        <v>20</v>
      </c>
      <c r="E293" s="490">
        <f>'gmina własne'!E219</f>
        <v>48000</v>
      </c>
      <c r="I293" s="5"/>
    </row>
    <row r="294" spans="1:9" s="6" customFormat="1" ht="22.5" outlineLevel="2">
      <c r="A294" s="202"/>
      <c r="B294" s="200"/>
      <c r="C294" s="183">
        <v>2810</v>
      </c>
      <c r="D294" s="279" t="s">
        <v>238</v>
      </c>
      <c r="E294" s="490">
        <f>'gmina własne'!E220</f>
        <v>200000</v>
      </c>
      <c r="I294" s="5"/>
    </row>
    <row r="295" spans="1:9" s="6" customFormat="1" ht="22.5" outlineLevel="2">
      <c r="A295" s="202"/>
      <c r="B295" s="200"/>
      <c r="C295" s="183">
        <v>2820</v>
      </c>
      <c r="D295" s="279" t="s">
        <v>241</v>
      </c>
      <c r="E295" s="490">
        <f>'gmina własne'!E221</f>
        <v>200000</v>
      </c>
      <c r="I295" s="5"/>
    </row>
    <row r="296" spans="1:9" s="6" customFormat="1" ht="12.75" outlineLevel="2">
      <c r="A296" s="202"/>
      <c r="B296" s="200"/>
      <c r="C296" s="183">
        <v>4210</v>
      </c>
      <c r="D296" s="279" t="s">
        <v>162</v>
      </c>
      <c r="E296" s="490">
        <f>'gmina własne'!E222</f>
        <v>38954</v>
      </c>
      <c r="I296" s="5"/>
    </row>
    <row r="297" spans="1:9" s="6" customFormat="1" ht="12.75" outlineLevel="2">
      <c r="A297" s="202"/>
      <c r="B297" s="200"/>
      <c r="C297" s="183">
        <v>4270</v>
      </c>
      <c r="D297" s="279" t="s">
        <v>2</v>
      </c>
      <c r="E297" s="490">
        <f>'gmina własne'!E223</f>
        <v>28097</v>
      </c>
      <c r="I297" s="5"/>
    </row>
    <row r="298" spans="1:9" s="6" customFormat="1" ht="12.75" outlineLevel="2">
      <c r="A298" s="202"/>
      <c r="B298" s="200"/>
      <c r="C298" s="183">
        <v>4300</v>
      </c>
      <c r="D298" s="279" t="s">
        <v>8</v>
      </c>
      <c r="E298" s="490">
        <f>'gmina własne'!E224</f>
        <v>185050</v>
      </c>
      <c r="I298" s="5"/>
    </row>
    <row r="299" spans="1:9" s="6" customFormat="1" ht="13.5" outlineLevel="2" thickBot="1">
      <c r="A299" s="202"/>
      <c r="B299" s="200"/>
      <c r="C299" s="183">
        <v>4440</v>
      </c>
      <c r="D299" s="187" t="s">
        <v>29</v>
      </c>
      <c r="E299" s="496">
        <f>'powiat własny'!E74</f>
        <v>18480</v>
      </c>
      <c r="I299" s="5"/>
    </row>
    <row r="300" spans="1:10" s="3" customFormat="1" ht="16.5" thickBot="1">
      <c r="A300" s="190">
        <v>854</v>
      </c>
      <c r="B300" s="194"/>
      <c r="C300" s="182"/>
      <c r="D300" s="277" t="s">
        <v>85</v>
      </c>
      <c r="E300" s="229">
        <f>E301+E305+E307+E309+E315+E317+E319+E324+E326</f>
        <v>79098297</v>
      </c>
      <c r="F300" s="224">
        <f>'gmina własne'!E225+'powiat własny'!E75</f>
        <v>79098297</v>
      </c>
      <c r="G300" s="5">
        <f>E300-F300</f>
        <v>0</v>
      </c>
      <c r="H300" s="5"/>
      <c r="I300" s="5"/>
      <c r="J300" s="5"/>
    </row>
    <row r="301" spans="1:9" s="3" customFormat="1" ht="12.75" outlineLevel="1">
      <c r="A301" s="202"/>
      <c r="B301" s="217">
        <v>85401</v>
      </c>
      <c r="C301" s="213"/>
      <c r="D301" s="278" t="s">
        <v>86</v>
      </c>
      <c r="E301" s="232">
        <f>SUM(E302:E304)</f>
        <v>5000</v>
      </c>
      <c r="F301" s="224"/>
      <c r="H301" s="5"/>
      <c r="I301" s="5"/>
    </row>
    <row r="302" spans="1:9" s="6" customFormat="1" ht="12.75" outlineLevel="2">
      <c r="A302" s="202"/>
      <c r="B302" s="200"/>
      <c r="C302" s="183">
        <v>4210</v>
      </c>
      <c r="D302" s="279" t="s">
        <v>7</v>
      </c>
      <c r="E302" s="490">
        <f>'gmina własne'!E227</f>
        <v>3000</v>
      </c>
      <c r="I302" s="5"/>
    </row>
    <row r="303" spans="1:9" s="6" customFormat="1" ht="12.75" outlineLevel="2">
      <c r="A303" s="202"/>
      <c r="B303" s="200"/>
      <c r="C303" s="183">
        <v>4300</v>
      </c>
      <c r="D303" s="279" t="s">
        <v>8</v>
      </c>
      <c r="E303" s="490">
        <f>'gmina własne'!E228</f>
        <v>1500</v>
      </c>
      <c r="I303" s="5"/>
    </row>
    <row r="304" spans="1:9" s="6" customFormat="1" ht="12.75" outlineLevel="2">
      <c r="A304" s="202"/>
      <c r="B304" s="200"/>
      <c r="C304" s="183">
        <v>4410</v>
      </c>
      <c r="D304" s="279" t="s">
        <v>28</v>
      </c>
      <c r="E304" s="490">
        <v>500</v>
      </c>
      <c r="I304" s="5"/>
    </row>
    <row r="305" spans="1:9" s="3" customFormat="1" ht="12.75" outlineLevel="1">
      <c r="A305" s="220"/>
      <c r="B305" s="216">
        <v>85402</v>
      </c>
      <c r="C305" s="213"/>
      <c r="D305" s="109" t="s">
        <v>246</v>
      </c>
      <c r="E305" s="232">
        <f>SUM(E306:E306)</f>
        <v>2000</v>
      </c>
      <c r="F305" s="224"/>
      <c r="H305" s="5"/>
      <c r="I305" s="5"/>
    </row>
    <row r="306" spans="1:9" s="6" customFormat="1" ht="12.75" outlineLevel="2">
      <c r="A306" s="202"/>
      <c r="B306" s="200"/>
      <c r="C306" s="183">
        <v>4300</v>
      </c>
      <c r="D306" s="279" t="s">
        <v>8</v>
      </c>
      <c r="E306" s="490">
        <f>'gmina własne'!E231</f>
        <v>2000</v>
      </c>
      <c r="I306" s="5"/>
    </row>
    <row r="307" spans="1:5" s="6" customFormat="1" ht="12.75" outlineLevel="2">
      <c r="A307" s="201"/>
      <c r="B307" s="193">
        <v>85403</v>
      </c>
      <c r="C307" s="72"/>
      <c r="D307" s="151" t="s">
        <v>87</v>
      </c>
      <c r="E307" s="239">
        <f>SUM(E308:E308)</f>
        <v>1268506</v>
      </c>
    </row>
    <row r="308" spans="1:6" s="3" customFormat="1" ht="22.5" outlineLevel="1">
      <c r="A308" s="202"/>
      <c r="B308" s="200"/>
      <c r="C308" s="183">
        <v>2540</v>
      </c>
      <c r="D308" s="187" t="s">
        <v>61</v>
      </c>
      <c r="E308" s="231">
        <f>'powiat własny'!E77</f>
        <v>1268506</v>
      </c>
      <c r="F308" s="224"/>
    </row>
    <row r="309" spans="1:9" s="3" customFormat="1" ht="12.75" outlineLevel="1">
      <c r="A309" s="220"/>
      <c r="B309" s="216">
        <v>85404</v>
      </c>
      <c r="C309" s="213"/>
      <c r="D309" s="278" t="s">
        <v>219</v>
      </c>
      <c r="E309" s="232">
        <f>SUM(E310:E314)</f>
        <v>76532879</v>
      </c>
      <c r="F309" s="224"/>
      <c r="H309" s="5"/>
      <c r="I309" s="5"/>
    </row>
    <row r="310" spans="1:9" s="6" customFormat="1" ht="22.5" outlineLevel="2">
      <c r="A310" s="202"/>
      <c r="B310" s="200"/>
      <c r="C310" s="183">
        <v>2540</v>
      </c>
      <c r="D310" s="279" t="s">
        <v>61</v>
      </c>
      <c r="E310" s="490">
        <f>'gmina własne'!E233</f>
        <v>1779234</v>
      </c>
      <c r="I310" s="5"/>
    </row>
    <row r="311" spans="1:9" s="6" customFormat="1" ht="22.5" outlineLevel="2">
      <c r="A311" s="202"/>
      <c r="B311" s="200"/>
      <c r="C311" s="183">
        <v>2590</v>
      </c>
      <c r="D311" s="279" t="s">
        <v>220</v>
      </c>
      <c r="E311" s="490">
        <f>'gmina własne'!E234</f>
        <v>73567045</v>
      </c>
      <c r="I311" s="5"/>
    </row>
    <row r="312" spans="1:9" s="6" customFormat="1" ht="12.75" outlineLevel="2">
      <c r="A312" s="202"/>
      <c r="B312" s="200"/>
      <c r="C312" s="183">
        <v>4210</v>
      </c>
      <c r="D312" s="279" t="s">
        <v>7</v>
      </c>
      <c r="E312" s="490">
        <f>'gmina własne'!E235</f>
        <v>1000</v>
      </c>
      <c r="I312" s="5"/>
    </row>
    <row r="313" spans="1:9" s="6" customFormat="1" ht="12.75" outlineLevel="2">
      <c r="A313" s="202"/>
      <c r="B313" s="200"/>
      <c r="C313" s="183">
        <v>6050</v>
      </c>
      <c r="D313" s="279" t="s">
        <v>35</v>
      </c>
      <c r="E313" s="490">
        <f>'gmina własne'!E236</f>
        <v>1098300</v>
      </c>
      <c r="I313" s="5"/>
    </row>
    <row r="314" spans="1:9" s="6" customFormat="1" ht="33.75" outlineLevel="2">
      <c r="A314" s="202"/>
      <c r="B314" s="200"/>
      <c r="C314" s="183">
        <v>6210</v>
      </c>
      <c r="D314" s="279" t="s">
        <v>88</v>
      </c>
      <c r="E314" s="490">
        <f>'gmina własne'!E237</f>
        <v>87300</v>
      </c>
      <c r="I314" s="5"/>
    </row>
    <row r="315" spans="1:9" s="3" customFormat="1" ht="12.75" outlineLevel="1">
      <c r="A315" s="220"/>
      <c r="B315" s="216">
        <v>85405</v>
      </c>
      <c r="C315" s="213"/>
      <c r="D315" s="278" t="s">
        <v>89</v>
      </c>
      <c r="E315" s="232">
        <f>SUM(E316:E316)</f>
        <v>441434</v>
      </c>
      <c r="F315" s="224"/>
      <c r="H315" s="5"/>
      <c r="I315" s="5"/>
    </row>
    <row r="316" spans="1:9" s="6" customFormat="1" ht="22.5" outlineLevel="2">
      <c r="A316" s="202"/>
      <c r="B316" s="200"/>
      <c r="C316" s="183">
        <v>2540</v>
      </c>
      <c r="D316" s="279" t="s">
        <v>61</v>
      </c>
      <c r="E316" s="490">
        <f>'gmina własne'!E239</f>
        <v>441434</v>
      </c>
      <c r="I316" s="5"/>
    </row>
    <row r="317" spans="1:6" s="3" customFormat="1" ht="12.75" outlineLevel="4">
      <c r="A317" s="201"/>
      <c r="B317" s="193">
        <v>85410</v>
      </c>
      <c r="C317" s="72"/>
      <c r="D317" s="151" t="s">
        <v>91</v>
      </c>
      <c r="E317" s="239">
        <f>SUM(E318:E318)</f>
        <v>475893</v>
      </c>
      <c r="F317" s="224"/>
    </row>
    <row r="318" spans="1:6" s="3" customFormat="1" ht="22.5" outlineLevel="1">
      <c r="A318" s="202"/>
      <c r="B318" s="200"/>
      <c r="C318" s="183">
        <v>2540</v>
      </c>
      <c r="D318" s="187" t="s">
        <v>61</v>
      </c>
      <c r="E318" s="231">
        <f>'powiat własny'!E79</f>
        <v>475893</v>
      </c>
      <c r="F318" s="224"/>
    </row>
    <row r="319" spans="1:9" s="3" customFormat="1" ht="25.5" outlineLevel="1">
      <c r="A319" s="220"/>
      <c r="B319" s="216">
        <v>85412</v>
      </c>
      <c r="C319" s="213"/>
      <c r="D319" s="278" t="s">
        <v>92</v>
      </c>
      <c r="E319" s="232">
        <f>SUM(E320:E323)</f>
        <v>288619</v>
      </c>
      <c r="F319" s="224"/>
      <c r="H319" s="5"/>
      <c r="I319" s="5"/>
    </row>
    <row r="320" spans="1:9" s="6" customFormat="1" ht="22.5" outlineLevel="2">
      <c r="A320" s="202"/>
      <c r="B320" s="200"/>
      <c r="C320" s="183">
        <v>2630</v>
      </c>
      <c r="D320" s="279" t="s">
        <v>20</v>
      </c>
      <c r="E320" s="494">
        <f>'gmina własne'!E241</f>
        <v>114500</v>
      </c>
      <c r="I320" s="5"/>
    </row>
    <row r="321" spans="1:9" s="6" customFormat="1" ht="12.75" outlineLevel="2">
      <c r="A321" s="202"/>
      <c r="B321" s="200"/>
      <c r="C321" s="183">
        <v>4210</v>
      </c>
      <c r="D321" s="279" t="s">
        <v>7</v>
      </c>
      <c r="E321" s="494">
        <f>'gmina własne'!E242</f>
        <v>48709</v>
      </c>
      <c r="I321" s="5"/>
    </row>
    <row r="322" spans="1:9" s="6" customFormat="1" ht="12.75" outlineLevel="2">
      <c r="A322" s="202"/>
      <c r="B322" s="200"/>
      <c r="C322" s="183">
        <v>4300</v>
      </c>
      <c r="D322" s="279" t="s">
        <v>8</v>
      </c>
      <c r="E322" s="494">
        <f>'gmina własne'!E243</f>
        <v>124290</v>
      </c>
      <c r="I322" s="5"/>
    </row>
    <row r="323" spans="1:9" s="6" customFormat="1" ht="13.5" outlineLevel="2" thickBot="1">
      <c r="A323" s="203"/>
      <c r="B323" s="209"/>
      <c r="C323" s="600">
        <v>4410</v>
      </c>
      <c r="D323" s="601" t="s">
        <v>28</v>
      </c>
      <c r="E323" s="526">
        <f>'gmina własne'!E244</f>
        <v>1120</v>
      </c>
      <c r="I323" s="5"/>
    </row>
    <row r="324" spans="1:9" s="3" customFormat="1" ht="25.5" outlineLevel="1">
      <c r="A324" s="236"/>
      <c r="B324" s="237">
        <v>85418</v>
      </c>
      <c r="C324" s="227"/>
      <c r="D324" s="283" t="s">
        <v>247</v>
      </c>
      <c r="E324" s="234">
        <f>SUM(E325:E325)</f>
        <v>3000</v>
      </c>
      <c r="F324" s="224"/>
      <c r="H324" s="5"/>
      <c r="I324" s="5"/>
    </row>
    <row r="325" spans="1:9" s="6" customFormat="1" ht="12.75" outlineLevel="2">
      <c r="A325" s="202"/>
      <c r="B325" s="200"/>
      <c r="C325" s="183">
        <v>4300</v>
      </c>
      <c r="D325" s="279" t="s">
        <v>149</v>
      </c>
      <c r="E325" s="494">
        <f>'gmina własne'!E246</f>
        <v>3000</v>
      </c>
      <c r="I325" s="5"/>
    </row>
    <row r="326" spans="1:9" s="3" customFormat="1" ht="12.75" outlineLevel="1">
      <c r="A326" s="220"/>
      <c r="B326" s="216">
        <v>85495</v>
      </c>
      <c r="C326" s="213"/>
      <c r="D326" s="278" t="s">
        <v>5</v>
      </c>
      <c r="E326" s="232">
        <f>SUM(E327:E331)</f>
        <v>80966</v>
      </c>
      <c r="F326" s="224"/>
      <c r="H326" s="5"/>
      <c r="I326" s="5"/>
    </row>
    <row r="327" spans="1:9" s="6" customFormat="1" ht="12.75" outlineLevel="2">
      <c r="A327" s="202"/>
      <c r="B327" s="200"/>
      <c r="C327" s="183">
        <v>4110</v>
      </c>
      <c r="D327" s="279" t="s">
        <v>153</v>
      </c>
      <c r="E327" s="494">
        <f>'gmina własne'!E248</f>
        <v>110</v>
      </c>
      <c r="I327" s="5"/>
    </row>
    <row r="328" spans="1:9" s="6" customFormat="1" ht="12.75" outlineLevel="2">
      <c r="A328" s="202"/>
      <c r="B328" s="200"/>
      <c r="C328" s="183">
        <v>4210</v>
      </c>
      <c r="D328" s="279" t="s">
        <v>162</v>
      </c>
      <c r="E328" s="494">
        <f>'gmina własne'!E249</f>
        <v>39298</v>
      </c>
      <c r="I328" s="5"/>
    </row>
    <row r="329" spans="1:9" s="6" customFormat="1" ht="12.75" outlineLevel="2">
      <c r="A329" s="202"/>
      <c r="B329" s="200"/>
      <c r="C329" s="183">
        <v>4240</v>
      </c>
      <c r="D329" s="279" t="s">
        <v>164</v>
      </c>
      <c r="E329" s="494">
        <f>'gmina własne'!E250</f>
        <v>1500</v>
      </c>
      <c r="I329" s="5"/>
    </row>
    <row r="330" spans="1:9" s="6" customFormat="1" ht="12.75" outlineLevel="2">
      <c r="A330" s="202"/>
      <c r="B330" s="200"/>
      <c r="C330" s="183">
        <v>4300</v>
      </c>
      <c r="D330" s="279" t="s">
        <v>149</v>
      </c>
      <c r="E330" s="494">
        <f>'gmina własne'!E251</f>
        <v>39998</v>
      </c>
      <c r="I330" s="5"/>
    </row>
    <row r="331" spans="1:9" s="6" customFormat="1" ht="13.5" outlineLevel="2" thickBot="1">
      <c r="A331" s="203"/>
      <c r="B331" s="209"/>
      <c r="C331" s="184">
        <v>4410</v>
      </c>
      <c r="D331" s="282" t="s">
        <v>28</v>
      </c>
      <c r="E331" s="526">
        <f>'gmina własne'!E252</f>
        <v>60</v>
      </c>
      <c r="I331" s="5"/>
    </row>
    <row r="332" spans="1:10" s="3" customFormat="1" ht="32.25" thickBot="1">
      <c r="A332" s="190">
        <v>900</v>
      </c>
      <c r="B332" s="194"/>
      <c r="C332" s="182"/>
      <c r="D332" s="277" t="s">
        <v>94</v>
      </c>
      <c r="E332" s="229">
        <f>E333+E343+E347+E351+E355+E340</f>
        <v>22570014</v>
      </c>
      <c r="F332" s="224">
        <f>'gmina własne'!E253+'powiat własny'!E80</f>
        <v>22570014</v>
      </c>
      <c r="G332" s="5">
        <f>F332-E332</f>
        <v>0</v>
      </c>
      <c r="H332" s="5"/>
      <c r="I332" s="5"/>
      <c r="J332" s="5"/>
    </row>
    <row r="333" spans="1:9" s="3" customFormat="1" ht="12.75" outlineLevel="1">
      <c r="A333" s="220"/>
      <c r="B333" s="217">
        <v>90001</v>
      </c>
      <c r="C333" s="213"/>
      <c r="D333" s="278" t="s">
        <v>95</v>
      </c>
      <c r="E333" s="232">
        <f>SUM(E334:E339)</f>
        <v>15306230</v>
      </c>
      <c r="F333" s="224"/>
      <c r="G333" s="5"/>
      <c r="H333" s="5"/>
      <c r="I333" s="5"/>
    </row>
    <row r="334" spans="1:9" s="6" customFormat="1" ht="22.5" outlineLevel="2">
      <c r="A334" s="202"/>
      <c r="B334" s="200"/>
      <c r="C334" s="183">
        <v>2910</v>
      </c>
      <c r="D334" s="279" t="s">
        <v>249</v>
      </c>
      <c r="E334" s="490">
        <f>'gmina własne'!E255</f>
        <v>90204</v>
      </c>
      <c r="I334" s="5"/>
    </row>
    <row r="335" spans="1:9" s="6" customFormat="1" ht="12.75" outlineLevel="2">
      <c r="A335" s="202"/>
      <c r="B335" s="200"/>
      <c r="C335" s="183">
        <v>4270</v>
      </c>
      <c r="D335" s="279" t="s">
        <v>2</v>
      </c>
      <c r="E335" s="490">
        <f>'gmina własne'!E256</f>
        <v>1837200</v>
      </c>
      <c r="I335" s="5"/>
    </row>
    <row r="336" spans="1:9" s="6" customFormat="1" ht="12.75" outlineLevel="2">
      <c r="A336" s="202"/>
      <c r="B336" s="200"/>
      <c r="C336" s="183">
        <v>4300</v>
      </c>
      <c r="D336" s="279" t="s">
        <v>149</v>
      </c>
      <c r="E336" s="490">
        <f>'gmina własne'!E257+'powiat własny'!E82</f>
        <v>1735000</v>
      </c>
      <c r="I336" s="5"/>
    </row>
    <row r="337" spans="1:9" s="6" customFormat="1" ht="22.5" outlineLevel="2">
      <c r="A337" s="202"/>
      <c r="B337" s="200"/>
      <c r="C337" s="183">
        <v>4560</v>
      </c>
      <c r="D337" s="279" t="s">
        <v>250</v>
      </c>
      <c r="E337" s="490">
        <f>'gmina własne'!E258</f>
        <v>8576</v>
      </c>
      <c r="I337" s="5"/>
    </row>
    <row r="338" spans="1:9" s="6" customFormat="1" ht="12.75" outlineLevel="2">
      <c r="A338" s="202"/>
      <c r="B338" s="200"/>
      <c r="C338" s="183">
        <v>6050</v>
      </c>
      <c r="D338" s="279" t="s">
        <v>35</v>
      </c>
      <c r="E338" s="490">
        <f>'gmina własne'!E259</f>
        <v>6579000</v>
      </c>
      <c r="I338" s="5"/>
    </row>
    <row r="339" spans="1:9" s="6" customFormat="1" ht="33.75" outlineLevel="2">
      <c r="A339" s="202"/>
      <c r="B339" s="200"/>
      <c r="C339" s="183">
        <v>6230</v>
      </c>
      <c r="D339" s="279" t="s">
        <v>257</v>
      </c>
      <c r="E339" s="490">
        <f>'gmina własne'!E260</f>
        <v>5056250</v>
      </c>
      <c r="I339" s="5"/>
    </row>
    <row r="340" spans="1:9" s="3" customFormat="1" ht="12.75" outlineLevel="1">
      <c r="A340" s="220"/>
      <c r="B340" s="216">
        <v>90002</v>
      </c>
      <c r="C340" s="213"/>
      <c r="D340" s="278" t="s">
        <v>121</v>
      </c>
      <c r="E340" s="232">
        <f>E342+E341</f>
        <v>1950000</v>
      </c>
      <c r="F340" s="224"/>
      <c r="H340" s="5"/>
      <c r="I340" s="5"/>
    </row>
    <row r="341" spans="1:9" s="158" customFormat="1" ht="22.5" outlineLevel="1">
      <c r="A341" s="202"/>
      <c r="B341" s="200"/>
      <c r="C341" s="183">
        <v>2610</v>
      </c>
      <c r="D341" s="279" t="s">
        <v>195</v>
      </c>
      <c r="E341" s="490">
        <f>'gmina własne'!E262</f>
        <v>900000</v>
      </c>
      <c r="I341" s="5"/>
    </row>
    <row r="342" spans="1:9" s="6" customFormat="1" ht="33.75" outlineLevel="2">
      <c r="A342" s="202"/>
      <c r="B342" s="200"/>
      <c r="C342" s="183">
        <v>6210</v>
      </c>
      <c r="D342" s="279" t="s">
        <v>88</v>
      </c>
      <c r="E342" s="490">
        <f>'gmina własne'!E263</f>
        <v>1050000</v>
      </c>
      <c r="I342" s="5"/>
    </row>
    <row r="343" spans="1:9" s="3" customFormat="1" ht="12.75" outlineLevel="1">
      <c r="A343" s="220"/>
      <c r="B343" s="216">
        <v>90003</v>
      </c>
      <c r="C343" s="213"/>
      <c r="D343" s="278" t="s">
        <v>96</v>
      </c>
      <c r="E343" s="232">
        <f>SUM(E344:E346)</f>
        <v>127980</v>
      </c>
      <c r="F343" s="224"/>
      <c r="H343" s="5"/>
      <c r="I343" s="5"/>
    </row>
    <row r="344" spans="1:9" s="6" customFormat="1" ht="12.75" outlineLevel="2">
      <c r="A344" s="202"/>
      <c r="B344" s="200"/>
      <c r="C344" s="183">
        <v>4210</v>
      </c>
      <c r="D344" s="279" t="s">
        <v>7</v>
      </c>
      <c r="E344" s="490">
        <f>'gmina własne'!E265</f>
        <v>5500</v>
      </c>
      <c r="I344" s="5"/>
    </row>
    <row r="345" spans="1:9" s="6" customFormat="1" ht="12.75" outlineLevel="2">
      <c r="A345" s="202"/>
      <c r="B345" s="200"/>
      <c r="C345" s="183">
        <v>4300</v>
      </c>
      <c r="D345" s="279" t="s">
        <v>8</v>
      </c>
      <c r="E345" s="490">
        <f>'gmina własne'!E266</f>
        <v>122352</v>
      </c>
      <c r="I345" s="5"/>
    </row>
    <row r="346" spans="1:9" s="6" customFormat="1" ht="12.75" outlineLevel="2">
      <c r="A346" s="202"/>
      <c r="B346" s="200"/>
      <c r="C346" s="183">
        <v>4430</v>
      </c>
      <c r="D346" s="279" t="s">
        <v>9</v>
      </c>
      <c r="E346" s="490">
        <v>128</v>
      </c>
      <c r="I346" s="5"/>
    </row>
    <row r="347" spans="1:9" s="3" customFormat="1" ht="12.75" outlineLevel="1">
      <c r="A347" s="220"/>
      <c r="B347" s="216">
        <v>90004</v>
      </c>
      <c r="C347" s="213"/>
      <c r="D347" s="278" t="s">
        <v>97</v>
      </c>
      <c r="E347" s="232">
        <f>SUM(E348:E350)</f>
        <v>221136</v>
      </c>
      <c r="F347" s="224"/>
      <c r="H347" s="5"/>
      <c r="I347" s="5"/>
    </row>
    <row r="348" spans="1:9" s="6" customFormat="1" ht="12.75" outlineLevel="2">
      <c r="A348" s="202"/>
      <c r="B348" s="200"/>
      <c r="C348" s="183">
        <v>4210</v>
      </c>
      <c r="D348" s="279" t="s">
        <v>7</v>
      </c>
      <c r="E348" s="490">
        <f>'gmina własne'!E269</f>
        <v>81355</v>
      </c>
      <c r="I348" s="5"/>
    </row>
    <row r="349" spans="1:9" s="6" customFormat="1" ht="12.75" outlineLevel="2">
      <c r="A349" s="202"/>
      <c r="B349" s="200"/>
      <c r="C349" s="183">
        <v>4270</v>
      </c>
      <c r="D349" s="279" t="s">
        <v>2</v>
      </c>
      <c r="E349" s="490">
        <f>'gmina własne'!E270</f>
        <v>67016</v>
      </c>
      <c r="I349" s="5"/>
    </row>
    <row r="350" spans="1:9" s="6" customFormat="1" ht="12.75" outlineLevel="2">
      <c r="A350" s="202"/>
      <c r="B350" s="200"/>
      <c r="C350" s="183">
        <v>4300</v>
      </c>
      <c r="D350" s="279" t="s">
        <v>8</v>
      </c>
      <c r="E350" s="490">
        <f>'gmina własne'!E271</f>
        <v>72765</v>
      </c>
      <c r="I350" s="5"/>
    </row>
    <row r="351" spans="1:9" s="3" customFormat="1" ht="12.75" outlineLevel="1">
      <c r="A351" s="220"/>
      <c r="B351" s="216">
        <v>90015</v>
      </c>
      <c r="C351" s="213"/>
      <c r="D351" s="278" t="s">
        <v>98</v>
      </c>
      <c r="E351" s="232">
        <f>SUM(E352:E354)</f>
        <v>470310</v>
      </c>
      <c r="F351" s="224"/>
      <c r="H351" s="5"/>
      <c r="I351" s="5"/>
    </row>
    <row r="352" spans="1:9" s="6" customFormat="1" ht="12.75" outlineLevel="2">
      <c r="A352" s="202"/>
      <c r="B352" s="200"/>
      <c r="C352" s="183">
        <v>4270</v>
      </c>
      <c r="D352" s="279" t="s">
        <v>2</v>
      </c>
      <c r="E352" s="490">
        <f>'gmina własne'!E273</f>
        <v>20000</v>
      </c>
      <c r="I352" s="5"/>
    </row>
    <row r="353" spans="1:9" s="6" customFormat="1" ht="12.75" outlineLevel="2">
      <c r="A353" s="202"/>
      <c r="B353" s="200"/>
      <c r="C353" s="183">
        <v>4300</v>
      </c>
      <c r="D353" s="279" t="s">
        <v>8</v>
      </c>
      <c r="E353" s="490">
        <f>'gmina własne'!E274</f>
        <v>25060</v>
      </c>
      <c r="I353" s="5"/>
    </row>
    <row r="354" spans="1:9" s="6" customFormat="1" ht="33.75" outlineLevel="2">
      <c r="A354" s="202"/>
      <c r="B354" s="200"/>
      <c r="C354" s="183">
        <v>6230</v>
      </c>
      <c r="D354" s="279" t="s">
        <v>257</v>
      </c>
      <c r="E354" s="490">
        <f>'gmina własne'!E275</f>
        <v>425250</v>
      </c>
      <c r="I354" s="5"/>
    </row>
    <row r="355" spans="1:9" s="3" customFormat="1" ht="12.75" outlineLevel="1">
      <c r="A355" s="220"/>
      <c r="B355" s="34">
        <v>90095</v>
      </c>
      <c r="C355" s="34"/>
      <c r="D355" s="247" t="s">
        <v>5</v>
      </c>
      <c r="E355" s="232">
        <f>SUM(E356:E361)</f>
        <v>4494358</v>
      </c>
      <c r="F355" s="224"/>
      <c r="G355" s="5"/>
      <c r="H355" s="5"/>
      <c r="I355" s="5"/>
    </row>
    <row r="356" spans="1:9" s="6" customFormat="1" ht="12.75" outlineLevel="2">
      <c r="A356" s="202"/>
      <c r="B356" s="200"/>
      <c r="C356" s="183">
        <v>3030</v>
      </c>
      <c r="D356" s="279" t="s">
        <v>152</v>
      </c>
      <c r="E356" s="490">
        <v>995</v>
      </c>
      <c r="I356" s="5"/>
    </row>
    <row r="357" spans="1:9" s="6" customFormat="1" ht="12.75" outlineLevel="2">
      <c r="A357" s="202"/>
      <c r="B357" s="200"/>
      <c r="C357" s="183">
        <v>4210</v>
      </c>
      <c r="D357" s="279" t="s">
        <v>7</v>
      </c>
      <c r="E357" s="490">
        <f>'gmina własne'!E278</f>
        <v>102736</v>
      </c>
      <c r="I357" s="5"/>
    </row>
    <row r="358" spans="1:9" s="6" customFormat="1" ht="12.75" outlineLevel="2">
      <c r="A358" s="202"/>
      <c r="B358" s="200"/>
      <c r="C358" s="183">
        <v>4270</v>
      </c>
      <c r="D358" s="279" t="s">
        <v>2</v>
      </c>
      <c r="E358" s="490">
        <f>'gmina własne'!E279</f>
        <v>964000</v>
      </c>
      <c r="I358" s="5"/>
    </row>
    <row r="359" spans="1:9" s="6" customFormat="1" ht="12.75" outlineLevel="2">
      <c r="A359" s="202"/>
      <c r="B359" s="200"/>
      <c r="C359" s="183">
        <v>4300</v>
      </c>
      <c r="D359" s="279" t="s">
        <v>8</v>
      </c>
      <c r="E359" s="490">
        <f>'gmina własne'!E280+'powiat własny'!E84</f>
        <v>3319627</v>
      </c>
      <c r="I359" s="5"/>
    </row>
    <row r="360" spans="1:9" s="6" customFormat="1" ht="12.75" outlineLevel="2">
      <c r="A360" s="202"/>
      <c r="B360" s="200"/>
      <c r="C360" s="183">
        <v>4610</v>
      </c>
      <c r="D360" s="187" t="s">
        <v>237</v>
      </c>
      <c r="E360" s="231">
        <v>7000</v>
      </c>
      <c r="I360" s="5"/>
    </row>
    <row r="361" spans="1:9" s="6" customFormat="1" ht="23.25" outlineLevel="2" thickBot="1">
      <c r="A361" s="202"/>
      <c r="B361" s="200"/>
      <c r="C361" s="183">
        <v>6010</v>
      </c>
      <c r="D361" s="279" t="s">
        <v>13</v>
      </c>
      <c r="E361" s="490">
        <f>'gmina własne'!E281</f>
        <v>100000</v>
      </c>
      <c r="I361" s="5"/>
    </row>
    <row r="362" spans="1:10" s="3" customFormat="1" ht="16.5" thickBot="1">
      <c r="A362" s="190">
        <v>921</v>
      </c>
      <c r="B362" s="194"/>
      <c r="C362" s="182"/>
      <c r="D362" s="277" t="s">
        <v>99</v>
      </c>
      <c r="E362" s="229">
        <f>E363+E370+E373+E376+E381+E384+E389+E392+E395+E400+E387</f>
        <v>48338837</v>
      </c>
      <c r="F362" s="224">
        <f>'gmina własne'!E282+'powiat własny'!E86</f>
        <v>48332837</v>
      </c>
      <c r="H362" s="5"/>
      <c r="I362" s="5"/>
      <c r="J362" s="5"/>
    </row>
    <row r="363" spans="1:9" s="3" customFormat="1" ht="12.75" outlineLevel="1">
      <c r="A363" s="220"/>
      <c r="B363" s="217">
        <v>92105</v>
      </c>
      <c r="C363" s="213"/>
      <c r="D363" s="278" t="s">
        <v>100</v>
      </c>
      <c r="E363" s="232">
        <f>SUM(E364:E369)</f>
        <v>2751429</v>
      </c>
      <c r="F363" s="224"/>
      <c r="H363" s="5"/>
      <c r="I363" s="5"/>
    </row>
    <row r="364" spans="1:9" s="6" customFormat="1" ht="22.5" outlineLevel="2">
      <c r="A364" s="202"/>
      <c r="B364" s="200"/>
      <c r="C364" s="183">
        <v>2630</v>
      </c>
      <c r="D364" s="279" t="s">
        <v>20</v>
      </c>
      <c r="E364" s="490">
        <f>'gmina własne'!E284</f>
        <v>2500000</v>
      </c>
      <c r="I364" s="5"/>
    </row>
    <row r="365" spans="1:9" s="6" customFormat="1" ht="12.75" outlineLevel="2">
      <c r="A365" s="202"/>
      <c r="B365" s="200"/>
      <c r="C365" s="183">
        <v>4110</v>
      </c>
      <c r="D365" s="279" t="s">
        <v>161</v>
      </c>
      <c r="E365" s="490">
        <f>'gmina własne'!E285</f>
        <v>716</v>
      </c>
      <c r="I365" s="5"/>
    </row>
    <row r="366" spans="1:9" s="6" customFormat="1" ht="12.75" outlineLevel="2">
      <c r="A366" s="202"/>
      <c r="B366" s="200"/>
      <c r="C366" s="183">
        <v>4120</v>
      </c>
      <c r="D366" s="279" t="s">
        <v>26</v>
      </c>
      <c r="E366" s="490">
        <f>'gmina własne'!E286</f>
        <v>98</v>
      </c>
      <c r="I366" s="5"/>
    </row>
    <row r="367" spans="1:5" s="6" customFormat="1" ht="13.5" outlineLevel="2" thickBot="1">
      <c r="A367" s="203"/>
      <c r="B367" s="209"/>
      <c r="C367" s="184">
        <v>4210</v>
      </c>
      <c r="D367" s="282" t="s">
        <v>7</v>
      </c>
      <c r="E367" s="492">
        <f>'gmina własne'!E287</f>
        <v>55801</v>
      </c>
    </row>
    <row r="368" spans="1:5" s="6" customFormat="1" ht="12.75" outlineLevel="2">
      <c r="A368" s="206"/>
      <c r="B368" s="207"/>
      <c r="C368" s="208">
        <v>4260</v>
      </c>
      <c r="D368" s="296" t="s">
        <v>27</v>
      </c>
      <c r="E368" s="498">
        <f>'gmina własne'!E288</f>
        <v>293</v>
      </c>
    </row>
    <row r="369" spans="1:6" s="3" customFormat="1" ht="12.75">
      <c r="A369" s="202"/>
      <c r="B369" s="200"/>
      <c r="C369" s="183">
        <v>4300</v>
      </c>
      <c r="D369" s="187" t="s">
        <v>8</v>
      </c>
      <c r="E369" s="231">
        <f>'gmina własne'!E289</f>
        <v>194521</v>
      </c>
      <c r="F369" s="224"/>
    </row>
    <row r="370" spans="1:6" s="3" customFormat="1" ht="12.75">
      <c r="A370" s="294"/>
      <c r="B370" s="34">
        <v>92106</v>
      </c>
      <c r="C370" s="107"/>
      <c r="D370" s="259" t="s">
        <v>254</v>
      </c>
      <c r="E370" s="35">
        <f>SUM(E371:E372)</f>
        <v>8057000</v>
      </c>
      <c r="F370" s="224"/>
    </row>
    <row r="371" spans="1:6" s="3" customFormat="1" ht="12.75">
      <c r="A371" s="202"/>
      <c r="B371" s="200"/>
      <c r="C371" s="183">
        <v>2550</v>
      </c>
      <c r="D371" s="187" t="s">
        <v>104</v>
      </c>
      <c r="E371" s="231">
        <f>'powiat własny'!E88</f>
        <v>7872000</v>
      </c>
      <c r="F371" s="224"/>
    </row>
    <row r="372" spans="1:6" s="3" customFormat="1" ht="33.75">
      <c r="A372" s="202"/>
      <c r="B372" s="200"/>
      <c r="C372" s="183">
        <v>6220</v>
      </c>
      <c r="D372" s="187" t="s">
        <v>126</v>
      </c>
      <c r="E372" s="231">
        <f>'powiat własny'!E89</f>
        <v>185000</v>
      </c>
      <c r="F372" s="224"/>
    </row>
    <row r="373" spans="1:6" s="3" customFormat="1" ht="12.75">
      <c r="A373" s="294"/>
      <c r="B373" s="34">
        <v>92107</v>
      </c>
      <c r="C373" s="107"/>
      <c r="D373" s="259" t="s">
        <v>255</v>
      </c>
      <c r="E373" s="35">
        <f>SUM(E374:E375)</f>
        <v>4630000</v>
      </c>
      <c r="F373" s="224"/>
    </row>
    <row r="374" spans="1:6" s="3" customFormat="1" ht="12.75">
      <c r="A374" s="202"/>
      <c r="B374" s="200"/>
      <c r="C374" s="183">
        <v>2550</v>
      </c>
      <c r="D374" s="187" t="s">
        <v>104</v>
      </c>
      <c r="E374" s="231">
        <f>'powiat własny'!E91</f>
        <v>4584482</v>
      </c>
      <c r="F374" s="224"/>
    </row>
    <row r="375" spans="1:6" s="3" customFormat="1" ht="33.75">
      <c r="A375" s="202"/>
      <c r="B375" s="200"/>
      <c r="C375" s="183">
        <v>6220</v>
      </c>
      <c r="D375" s="187" t="s">
        <v>126</v>
      </c>
      <c r="E375" s="231">
        <f>'powiat własny'!E92</f>
        <v>45518</v>
      </c>
      <c r="F375" s="224"/>
    </row>
    <row r="376" spans="1:9" s="3" customFormat="1" ht="12.75" outlineLevel="1">
      <c r="A376" s="220"/>
      <c r="B376" s="216">
        <v>92109</v>
      </c>
      <c r="C376" s="213"/>
      <c r="D376" s="278" t="s">
        <v>101</v>
      </c>
      <c r="E376" s="232">
        <f>SUM(E377:E380)</f>
        <v>174450</v>
      </c>
      <c r="F376" s="224"/>
      <c r="H376" s="5"/>
      <c r="I376" s="5"/>
    </row>
    <row r="377" spans="1:5" s="6" customFormat="1" ht="12.75" outlineLevel="2">
      <c r="A377" s="202"/>
      <c r="B377" s="200"/>
      <c r="C377" s="183">
        <v>2550</v>
      </c>
      <c r="D377" s="279" t="s">
        <v>104</v>
      </c>
      <c r="E377" s="490">
        <f>'gmina własne'!E291</f>
        <v>130000</v>
      </c>
    </row>
    <row r="378" spans="1:5" s="6" customFormat="1" ht="12.75" outlineLevel="2">
      <c r="A378" s="202"/>
      <c r="B378" s="200"/>
      <c r="C378" s="183">
        <v>4210</v>
      </c>
      <c r="D378" s="279" t="s">
        <v>7</v>
      </c>
      <c r="E378" s="490">
        <f>'gmina własne'!E292</f>
        <v>22749</v>
      </c>
    </row>
    <row r="379" spans="1:5" s="6" customFormat="1" ht="12.75" outlineLevel="2">
      <c r="A379" s="202"/>
      <c r="B379" s="200"/>
      <c r="C379" s="183">
        <v>4270</v>
      </c>
      <c r="D379" s="279" t="s">
        <v>2</v>
      </c>
      <c r="E379" s="490">
        <f>'gmina własne'!E293</f>
        <v>1000</v>
      </c>
    </row>
    <row r="380" spans="1:9" s="6" customFormat="1" ht="12.75" outlineLevel="2">
      <c r="A380" s="202"/>
      <c r="B380" s="200"/>
      <c r="C380" s="183">
        <v>4300</v>
      </c>
      <c r="D380" s="279" t="s">
        <v>8</v>
      </c>
      <c r="E380" s="490">
        <f>'gmina własne'!E294</f>
        <v>20701</v>
      </c>
      <c r="I380" s="5"/>
    </row>
    <row r="381" spans="1:9" s="3" customFormat="1" ht="12.75" outlineLevel="1">
      <c r="A381" s="220"/>
      <c r="B381" s="216">
        <v>92110</v>
      </c>
      <c r="C381" s="213"/>
      <c r="D381" s="278" t="s">
        <v>242</v>
      </c>
      <c r="E381" s="232">
        <f>E382+E383</f>
        <v>730000</v>
      </c>
      <c r="F381" s="224"/>
      <c r="H381" s="5"/>
      <c r="I381" s="5"/>
    </row>
    <row r="382" spans="1:9" s="6" customFormat="1" ht="12.75" outlineLevel="2">
      <c r="A382" s="202"/>
      <c r="B382" s="200"/>
      <c r="C382" s="183">
        <v>2550</v>
      </c>
      <c r="D382" s="279" t="s">
        <v>104</v>
      </c>
      <c r="E382" s="490">
        <f>'gmina własne'!E296</f>
        <v>720000</v>
      </c>
      <c r="I382" s="5"/>
    </row>
    <row r="383" spans="1:9" s="6" customFormat="1" ht="33.75" outlineLevel="2">
      <c r="A383" s="202"/>
      <c r="B383" s="200"/>
      <c r="C383" s="183">
        <v>6220</v>
      </c>
      <c r="D383" s="279" t="s">
        <v>126</v>
      </c>
      <c r="E383" s="490">
        <f>'gmina własne'!E297</f>
        <v>10000</v>
      </c>
      <c r="I383" s="5"/>
    </row>
    <row r="384" spans="1:9" s="3" customFormat="1" ht="12.75" outlineLevel="1">
      <c r="A384" s="220"/>
      <c r="B384" s="216">
        <v>92113</v>
      </c>
      <c r="C384" s="213"/>
      <c r="D384" s="278" t="s">
        <v>243</v>
      </c>
      <c r="E384" s="232">
        <f>SUM(E385:E386)</f>
        <v>7846442</v>
      </c>
      <c r="F384" s="224"/>
      <c r="H384" s="5"/>
      <c r="I384" s="5"/>
    </row>
    <row r="385" spans="1:9" s="6" customFormat="1" ht="12.75" outlineLevel="2">
      <c r="A385" s="202"/>
      <c r="B385" s="200"/>
      <c r="C385" s="183">
        <v>2550</v>
      </c>
      <c r="D385" s="279" t="s">
        <v>104</v>
      </c>
      <c r="E385" s="490">
        <f>'gmina własne'!E299+'powiat własny'!E94</f>
        <v>7471208</v>
      </c>
      <c r="I385" s="5"/>
    </row>
    <row r="386" spans="1:9" s="6" customFormat="1" ht="33.75" outlineLevel="2">
      <c r="A386" s="202"/>
      <c r="B386" s="200"/>
      <c r="C386" s="183">
        <v>6220</v>
      </c>
      <c r="D386" s="279" t="s">
        <v>126</v>
      </c>
      <c r="E386" s="490">
        <f>'gmina własne'!E300+'powiat własny'!E95</f>
        <v>375234</v>
      </c>
      <c r="I386" s="5"/>
    </row>
    <row r="387" spans="1:6" s="3" customFormat="1" ht="12.75">
      <c r="A387" s="294"/>
      <c r="B387" s="34">
        <v>92114</v>
      </c>
      <c r="C387" s="107"/>
      <c r="D387" s="259" t="s">
        <v>405</v>
      </c>
      <c r="E387" s="35">
        <f>E388</f>
        <v>150000</v>
      </c>
      <c r="F387" s="224"/>
    </row>
    <row r="388" spans="1:9" s="6" customFormat="1" ht="12.75" outlineLevel="2">
      <c r="A388" s="202"/>
      <c r="B388" s="200"/>
      <c r="C388" s="183">
        <v>2550</v>
      </c>
      <c r="D388" s="279" t="s">
        <v>104</v>
      </c>
      <c r="E388" s="490">
        <v>150000</v>
      </c>
      <c r="I388" s="5"/>
    </row>
    <row r="389" spans="1:9" s="3" customFormat="1" ht="12.75" outlineLevel="1">
      <c r="A389" s="220"/>
      <c r="B389" s="216">
        <v>92116</v>
      </c>
      <c r="C389" s="213"/>
      <c r="D389" s="278" t="s">
        <v>102</v>
      </c>
      <c r="E389" s="232">
        <f>SUM(E390:E391)</f>
        <v>13034100</v>
      </c>
      <c r="F389" s="224"/>
      <c r="H389" s="5"/>
      <c r="I389" s="5"/>
    </row>
    <row r="390" spans="1:9" s="6" customFormat="1" ht="12.75" outlineLevel="2">
      <c r="A390" s="202"/>
      <c r="B390" s="200"/>
      <c r="C390" s="183">
        <v>2550</v>
      </c>
      <c r="D390" s="279" t="s">
        <v>104</v>
      </c>
      <c r="E390" s="490">
        <f>'gmina własne'!E302+'gmina zlecone'!E39</f>
        <v>10909100</v>
      </c>
      <c r="I390" s="5"/>
    </row>
    <row r="391" spans="1:9" s="6" customFormat="1" ht="33.75" outlineLevel="2">
      <c r="A391" s="202"/>
      <c r="B391" s="200"/>
      <c r="C391" s="183">
        <v>6220</v>
      </c>
      <c r="D391" s="279" t="s">
        <v>126</v>
      </c>
      <c r="E391" s="490">
        <f>'gmina własne'!E303</f>
        <v>2125000</v>
      </c>
      <c r="I391" s="5"/>
    </row>
    <row r="392" spans="1:9" s="3" customFormat="1" ht="12.75" outlineLevel="1">
      <c r="A392" s="220"/>
      <c r="B392" s="216">
        <v>92118</v>
      </c>
      <c r="C392" s="213"/>
      <c r="D392" s="278" t="s">
        <v>244</v>
      </c>
      <c r="E392" s="232">
        <f>SUM(E393:E394)</f>
        <v>8504000</v>
      </c>
      <c r="F392" s="224"/>
      <c r="H392" s="5"/>
      <c r="I392" s="5"/>
    </row>
    <row r="393" spans="1:9" s="6" customFormat="1" ht="12.75" outlineLevel="2">
      <c r="A393" s="202"/>
      <c r="B393" s="200"/>
      <c r="C393" s="183">
        <v>2550</v>
      </c>
      <c r="D393" s="279" t="s">
        <v>104</v>
      </c>
      <c r="E393" s="490">
        <f>'gmina własne'!E305</f>
        <v>7022000</v>
      </c>
      <c r="I393" s="5"/>
    </row>
    <row r="394" spans="1:9" s="6" customFormat="1" ht="33.75" outlineLevel="2">
      <c r="A394" s="202"/>
      <c r="B394" s="200"/>
      <c r="C394" s="183">
        <v>6220</v>
      </c>
      <c r="D394" s="279" t="s">
        <v>126</v>
      </c>
      <c r="E394" s="490">
        <f>'gmina własne'!E306</f>
        <v>1482000</v>
      </c>
      <c r="I394" s="5"/>
    </row>
    <row r="395" spans="1:9" s="3" customFormat="1" ht="12.75" outlineLevel="1">
      <c r="A395" s="220"/>
      <c r="B395" s="216">
        <v>92120</v>
      </c>
      <c r="C395" s="213"/>
      <c r="D395" s="278" t="s">
        <v>103</v>
      </c>
      <c r="E395" s="232">
        <f>SUM(E396:E399)</f>
        <v>1589700</v>
      </c>
      <c r="F395" s="224"/>
      <c r="H395" s="5"/>
      <c r="I395" s="5"/>
    </row>
    <row r="396" spans="1:9" s="6" customFormat="1" ht="12.75" outlineLevel="2">
      <c r="A396" s="202"/>
      <c r="B396" s="200"/>
      <c r="C396" s="183">
        <v>2520</v>
      </c>
      <c r="D396" s="279" t="s">
        <v>107</v>
      </c>
      <c r="E396" s="490">
        <f>'gmina własne'!E308</f>
        <v>140000</v>
      </c>
      <c r="I396" s="5"/>
    </row>
    <row r="397" spans="1:9" s="6" customFormat="1" ht="12.75" outlineLevel="2">
      <c r="A397" s="202"/>
      <c r="B397" s="200"/>
      <c r="C397" s="183">
        <v>2550</v>
      </c>
      <c r="D397" s="279" t="s">
        <v>104</v>
      </c>
      <c r="E397" s="490">
        <f>'gmina własne'!E309</f>
        <v>393000</v>
      </c>
      <c r="I397" s="5"/>
    </row>
    <row r="398" spans="1:9" s="6" customFormat="1" ht="33.75" outlineLevel="2">
      <c r="A398" s="202"/>
      <c r="B398" s="200"/>
      <c r="C398" s="183">
        <v>2830</v>
      </c>
      <c r="D398" s="279" t="s">
        <v>77</v>
      </c>
      <c r="E398" s="490">
        <f>'gmina własne'!E310</f>
        <v>782700</v>
      </c>
      <c r="I398" s="5"/>
    </row>
    <row r="399" spans="1:9" s="6" customFormat="1" ht="12.75" outlineLevel="2">
      <c r="A399" s="202"/>
      <c r="B399" s="200"/>
      <c r="C399" s="183">
        <v>4300</v>
      </c>
      <c r="D399" s="279" t="s">
        <v>8</v>
      </c>
      <c r="E399" s="490">
        <f>'gmina własne'!E311</f>
        <v>274000</v>
      </c>
      <c r="I399" s="5"/>
    </row>
    <row r="400" spans="1:9" s="3" customFormat="1" ht="12.75" outlineLevel="1">
      <c r="A400" s="220"/>
      <c r="B400" s="216">
        <v>92195</v>
      </c>
      <c r="C400" s="213"/>
      <c r="D400" s="278" t="s">
        <v>5</v>
      </c>
      <c r="E400" s="232">
        <f>SUM(E401:E405)</f>
        <v>871716</v>
      </c>
      <c r="F400" s="224"/>
      <c r="H400" s="5"/>
      <c r="I400" s="5"/>
    </row>
    <row r="401" spans="1:9" s="6" customFormat="1" ht="12.75" outlineLevel="2">
      <c r="A401" s="202"/>
      <c r="B401" s="200"/>
      <c r="C401" s="183">
        <v>3020</v>
      </c>
      <c r="D401" s="279" t="s">
        <v>6</v>
      </c>
      <c r="E401" s="490">
        <f>'gmina własne'!E313</f>
        <v>178000</v>
      </c>
      <c r="I401" s="5"/>
    </row>
    <row r="402" spans="1:9" s="6" customFormat="1" ht="12.75" outlineLevel="2">
      <c r="A402" s="202"/>
      <c r="B402" s="200"/>
      <c r="C402" s="183">
        <v>4210</v>
      </c>
      <c r="D402" s="279" t="s">
        <v>7</v>
      </c>
      <c r="E402" s="490">
        <f>'gmina własne'!E314</f>
        <v>153262</v>
      </c>
      <c r="I402" s="5"/>
    </row>
    <row r="403" spans="1:9" s="6" customFormat="1" ht="12.75" outlineLevel="2">
      <c r="A403" s="202"/>
      <c r="B403" s="200"/>
      <c r="C403" s="183">
        <v>4270</v>
      </c>
      <c r="D403" s="279" t="s">
        <v>2</v>
      </c>
      <c r="E403" s="490">
        <f>'gmina własne'!E315</f>
        <v>15000</v>
      </c>
      <c r="I403" s="5"/>
    </row>
    <row r="404" spans="1:9" s="6" customFormat="1" ht="12.75" outlineLevel="2">
      <c r="A404" s="202"/>
      <c r="B404" s="200"/>
      <c r="C404" s="183">
        <v>4300</v>
      </c>
      <c r="D404" s="279" t="s">
        <v>8</v>
      </c>
      <c r="E404" s="490">
        <f>'gmina własne'!E316</f>
        <v>515394</v>
      </c>
      <c r="I404" s="5"/>
    </row>
    <row r="405" spans="1:9" s="6" customFormat="1" ht="13.5" outlineLevel="2" thickBot="1">
      <c r="A405" s="202"/>
      <c r="B405" s="200"/>
      <c r="C405" s="183">
        <v>4410</v>
      </c>
      <c r="D405" s="279" t="s">
        <v>28</v>
      </c>
      <c r="E405" s="490">
        <f>'gmina własne'!E317</f>
        <v>10060</v>
      </c>
      <c r="I405" s="5"/>
    </row>
    <row r="406" spans="1:10" s="3" customFormat="1" ht="48" thickBot="1">
      <c r="A406" s="190">
        <v>925</v>
      </c>
      <c r="B406" s="194"/>
      <c r="C406" s="182"/>
      <c r="D406" s="277" t="s">
        <v>105</v>
      </c>
      <c r="E406" s="229">
        <f>E407</f>
        <v>240000</v>
      </c>
      <c r="F406" s="224">
        <f>'gmina własne'!E318</f>
        <v>240000</v>
      </c>
      <c r="H406" s="5"/>
      <c r="I406" s="5"/>
      <c r="J406" s="5"/>
    </row>
    <row r="407" spans="1:10" s="3" customFormat="1" ht="12.75" outlineLevel="1">
      <c r="A407" s="202"/>
      <c r="B407" s="217">
        <v>92504</v>
      </c>
      <c r="C407" s="213"/>
      <c r="D407" s="278" t="s">
        <v>106</v>
      </c>
      <c r="E407" s="232">
        <f>E408</f>
        <v>240000</v>
      </c>
      <c r="F407" s="224"/>
      <c r="I407" s="5"/>
      <c r="J407" s="5"/>
    </row>
    <row r="408" spans="1:10" s="6" customFormat="1" ht="13.5" outlineLevel="2" thickBot="1">
      <c r="A408" s="203"/>
      <c r="B408" s="209"/>
      <c r="C408" s="184">
        <v>2520</v>
      </c>
      <c r="D408" s="282" t="s">
        <v>107</v>
      </c>
      <c r="E408" s="492">
        <f>'gmina własne'!E320</f>
        <v>240000</v>
      </c>
      <c r="I408" s="5"/>
      <c r="J408" s="5"/>
    </row>
    <row r="409" spans="1:10" s="3" customFormat="1" ht="16.5" thickBot="1">
      <c r="A409" s="190">
        <v>926</v>
      </c>
      <c r="B409" s="194"/>
      <c r="C409" s="182"/>
      <c r="D409" s="277" t="s">
        <v>108</v>
      </c>
      <c r="E409" s="229">
        <f>E410+E414+E416</f>
        <v>27379079</v>
      </c>
      <c r="F409" s="224">
        <f>'gmina własne'!E321</f>
        <v>27379079</v>
      </c>
      <c r="H409" s="5"/>
      <c r="I409" s="5"/>
      <c r="J409" s="5"/>
    </row>
    <row r="410" spans="1:9" s="3" customFormat="1" ht="12.75" outlineLevel="1">
      <c r="A410" s="236"/>
      <c r="B410" s="237">
        <v>92601</v>
      </c>
      <c r="C410" s="227"/>
      <c r="D410" s="283" t="s">
        <v>109</v>
      </c>
      <c r="E410" s="234">
        <f>SUM(E411:E413)</f>
        <v>143294</v>
      </c>
      <c r="F410" s="224"/>
      <c r="I410" s="5"/>
    </row>
    <row r="411" spans="1:9" s="6" customFormat="1" ht="12.75" outlineLevel="2">
      <c r="A411" s="202"/>
      <c r="B411" s="200"/>
      <c r="C411" s="183">
        <v>4210</v>
      </c>
      <c r="D411" s="279" t="s">
        <v>7</v>
      </c>
      <c r="E411" s="490">
        <f>'gmina własne'!E323</f>
        <v>2000</v>
      </c>
      <c r="I411" s="5"/>
    </row>
    <row r="412" spans="1:9" s="6" customFormat="1" ht="12.75" outlineLevel="2">
      <c r="A412" s="202"/>
      <c r="B412" s="200"/>
      <c r="C412" s="183">
        <v>4270</v>
      </c>
      <c r="D412" s="279" t="s">
        <v>2</v>
      </c>
      <c r="E412" s="490">
        <f>'gmina własne'!E324</f>
        <v>8294</v>
      </c>
      <c r="I412" s="5"/>
    </row>
    <row r="413" spans="1:9" s="6" customFormat="1" ht="33.75" outlineLevel="2">
      <c r="A413" s="202"/>
      <c r="B413" s="200"/>
      <c r="C413" s="183">
        <v>6230</v>
      </c>
      <c r="D413" s="279" t="s">
        <v>257</v>
      </c>
      <c r="E413" s="490">
        <f>'gmina własne'!E325</f>
        <v>133000</v>
      </c>
      <c r="I413" s="5"/>
    </row>
    <row r="414" spans="1:9" s="3" customFormat="1" ht="12.75" outlineLevel="1">
      <c r="A414" s="220"/>
      <c r="B414" s="216">
        <v>92605</v>
      </c>
      <c r="C414" s="213"/>
      <c r="D414" s="278" t="s">
        <v>110</v>
      </c>
      <c r="E414" s="232">
        <f>SUM(E415:E415)</f>
        <v>3227000</v>
      </c>
      <c r="F414" s="224"/>
      <c r="I414" s="5"/>
    </row>
    <row r="415" spans="1:9" s="6" customFormat="1" ht="22.5" outlineLevel="2">
      <c r="A415" s="202"/>
      <c r="B415" s="200"/>
      <c r="C415" s="183">
        <v>2630</v>
      </c>
      <c r="D415" s="279" t="s">
        <v>20</v>
      </c>
      <c r="E415" s="490">
        <f>'gmina własne'!E327</f>
        <v>3227000</v>
      </c>
      <c r="I415" s="5"/>
    </row>
    <row r="416" spans="1:9" s="3" customFormat="1" ht="12.75" outlineLevel="1">
      <c r="A416" s="220"/>
      <c r="B416" s="216">
        <v>92695</v>
      </c>
      <c r="C416" s="213"/>
      <c r="D416" s="278" t="s">
        <v>5</v>
      </c>
      <c r="E416" s="232">
        <f>SUM(E417:E426)</f>
        <v>24008785</v>
      </c>
      <c r="F416" s="224"/>
      <c r="I416" s="5"/>
    </row>
    <row r="417" spans="1:9" s="6" customFormat="1" ht="22.5" outlineLevel="2">
      <c r="A417" s="202"/>
      <c r="B417" s="200"/>
      <c r="C417" s="183">
        <v>2610</v>
      </c>
      <c r="D417" s="279" t="s">
        <v>195</v>
      </c>
      <c r="E417" s="493">
        <f>'gmina własne'!E329</f>
        <v>6259709</v>
      </c>
      <c r="I417" s="5"/>
    </row>
    <row r="418" spans="1:9" s="6" customFormat="1" ht="22.5" outlineLevel="2">
      <c r="A418" s="202"/>
      <c r="B418" s="200"/>
      <c r="C418" s="183">
        <v>2630</v>
      </c>
      <c r="D418" s="279" t="s">
        <v>20</v>
      </c>
      <c r="E418" s="493">
        <f>'gmina własne'!E330</f>
        <v>8000</v>
      </c>
      <c r="I418" s="5"/>
    </row>
    <row r="419" spans="1:9" s="6" customFormat="1" ht="12.75" outlineLevel="2">
      <c r="A419" s="202"/>
      <c r="B419" s="200"/>
      <c r="C419" s="183">
        <v>3020</v>
      </c>
      <c r="D419" s="279" t="s">
        <v>6</v>
      </c>
      <c r="E419" s="493">
        <f>'gmina własne'!E331</f>
        <v>100000</v>
      </c>
      <c r="I419" s="5"/>
    </row>
    <row r="420" spans="1:9" s="6" customFormat="1" ht="12.75" outlineLevel="2">
      <c r="A420" s="202"/>
      <c r="B420" s="200"/>
      <c r="C420" s="183">
        <v>4210</v>
      </c>
      <c r="D420" s="279" t="s">
        <v>7</v>
      </c>
      <c r="E420" s="493">
        <f>'gmina własne'!E332</f>
        <v>348749</v>
      </c>
      <c r="I420" s="5"/>
    </row>
    <row r="421" spans="1:9" s="6" customFormat="1" ht="12.75" outlineLevel="2">
      <c r="A421" s="202"/>
      <c r="B421" s="200"/>
      <c r="C421" s="183">
        <v>4270</v>
      </c>
      <c r="D421" s="279" t="s">
        <v>2</v>
      </c>
      <c r="E421" s="493">
        <f>'gmina własne'!E333</f>
        <v>737907</v>
      </c>
      <c r="I421" s="5"/>
    </row>
    <row r="422" spans="1:9" s="6" customFormat="1" ht="12.75" outlineLevel="2">
      <c r="A422" s="202"/>
      <c r="B422" s="200"/>
      <c r="C422" s="183">
        <v>4300</v>
      </c>
      <c r="D422" s="279" t="s">
        <v>8</v>
      </c>
      <c r="E422" s="493">
        <f>'gmina własne'!E334</f>
        <v>60</v>
      </c>
      <c r="I422" s="5"/>
    </row>
    <row r="423" spans="1:9" s="6" customFormat="1" ht="12.75" outlineLevel="2">
      <c r="A423" s="202"/>
      <c r="B423" s="200"/>
      <c r="C423" s="183">
        <v>4410</v>
      </c>
      <c r="D423" s="279" t="s">
        <v>28</v>
      </c>
      <c r="E423" s="493">
        <f>'gmina własne'!E335</f>
        <v>21300</v>
      </c>
      <c r="I423" s="5"/>
    </row>
    <row r="424" spans="1:9" s="6" customFormat="1" ht="12.75" outlineLevel="2">
      <c r="A424" s="202"/>
      <c r="B424" s="200"/>
      <c r="C424" s="183">
        <v>4430</v>
      </c>
      <c r="D424" s="279" t="s">
        <v>9</v>
      </c>
      <c r="E424" s="493">
        <f>'gmina własne'!E336</f>
        <v>311326</v>
      </c>
      <c r="I424" s="5"/>
    </row>
    <row r="425" spans="1:9" s="6" customFormat="1" ht="12.75" outlineLevel="2">
      <c r="A425" s="202"/>
      <c r="B425" s="200"/>
      <c r="C425" s="183">
        <v>6050</v>
      </c>
      <c r="D425" s="279" t="s">
        <v>35</v>
      </c>
      <c r="E425" s="493">
        <f>'gmina własne'!E337</f>
        <v>14521734</v>
      </c>
      <c r="I425" s="5"/>
    </row>
    <row r="426" spans="1:9" s="6" customFormat="1" ht="34.5" outlineLevel="2" thickBot="1">
      <c r="A426" s="203"/>
      <c r="B426" s="209"/>
      <c r="C426" s="184">
        <v>6210</v>
      </c>
      <c r="D426" s="282" t="s">
        <v>88</v>
      </c>
      <c r="E426" s="495">
        <f>'gmina własne'!E338</f>
        <v>1700000</v>
      </c>
      <c r="I426" s="5"/>
    </row>
    <row r="427" spans="1:9" s="3" customFormat="1" ht="12.75">
      <c r="A427" s="2"/>
      <c r="B427" s="2"/>
      <c r="C427" s="2"/>
      <c r="D427" s="276"/>
      <c r="E427" s="486"/>
      <c r="F427" s="224"/>
      <c r="I427" s="5"/>
    </row>
  </sheetData>
  <printOptions/>
  <pageMargins left="0.86" right="0.4330708661417323" top="0.5" bottom="0.66" header="0.5" footer="0.66"/>
  <pageSetup horizontalDpi="300" verticalDpi="300" orientation="portrait" paperSize="9" r:id="rId1"/>
  <rowBreaks count="5" manualBreakCount="5">
    <brk id="47" max="4" man="1"/>
    <brk id="147" max="4" man="1"/>
    <brk id="196" max="4" man="1"/>
    <brk id="367" max="4" man="1"/>
    <brk id="40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400"/>
  <sheetViews>
    <sheetView zoomScaleSheetLayoutView="100" workbookViewId="0" topLeftCell="A1">
      <selection activeCell="B2" sqref="B2"/>
    </sheetView>
  </sheetViews>
  <sheetFormatPr defaultColWidth="9.140625" defaultRowHeight="12.75" outlineLevelRow="4"/>
  <cols>
    <col min="1" max="1" width="5.421875" style="2" customWidth="1"/>
    <col min="2" max="2" width="6.140625" style="2" customWidth="1"/>
    <col min="3" max="3" width="6.00390625" style="2" customWidth="1"/>
    <col min="4" max="4" width="50.7109375" style="276" customWidth="1"/>
    <col min="5" max="5" width="20.421875" style="486" customWidth="1"/>
    <col min="6" max="6" width="19.00390625" style="224" customWidth="1"/>
    <col min="7" max="7" width="13.00390625" style="3" customWidth="1"/>
    <col min="8" max="8" width="10.8515625" style="3" customWidth="1"/>
    <col min="9" max="9" width="9.57421875" style="3" customWidth="1"/>
    <col min="10" max="10" width="10.8515625" style="3" bestFit="1" customWidth="1"/>
    <col min="11" max="11" width="9.421875" style="3" bestFit="1" customWidth="1"/>
    <col min="12" max="16384" width="9.140625" style="3" customWidth="1"/>
  </cols>
  <sheetData>
    <row r="1" ht="3.75" customHeight="1" outlineLevel="4"/>
    <row r="2" spans="4:6" ht="84.75" customHeight="1" outlineLevel="4" thickBot="1">
      <c r="D2" s="163" t="s">
        <v>258</v>
      </c>
      <c r="E2" s="487" t="s">
        <v>413</v>
      </c>
      <c r="F2" s="18"/>
    </row>
    <row r="3" spans="5:7" ht="13.5" outlineLevel="4" thickBot="1">
      <c r="E3" s="488">
        <f>E5+E18+E23+E38+E45+E54+E103+E107+E110+E134+E139+E150+E179+E182+E216+E225+E253+E282+E318+E321</f>
        <v>631909411.04</v>
      </c>
      <c r="F3" s="224">
        <f>'gw'!E2+samorządy!E4+inwestycje!E6</f>
        <v>631909411.04</v>
      </c>
      <c r="G3" s="5">
        <f>E3-F3</f>
        <v>0</v>
      </c>
    </row>
    <row r="4" spans="1:5" ht="8.25" customHeight="1" thickBot="1">
      <c r="A4" s="4"/>
      <c r="B4" s="4"/>
      <c r="C4" s="4"/>
      <c r="D4" s="547"/>
      <c r="E4" s="489"/>
    </row>
    <row r="5" spans="1:10" ht="16.5" thickBot="1">
      <c r="A5" s="218" t="s">
        <v>111</v>
      </c>
      <c r="B5" s="214"/>
      <c r="C5" s="215"/>
      <c r="D5" s="277" t="s">
        <v>0</v>
      </c>
      <c r="E5" s="229">
        <f>E6+E9+E11+E13</f>
        <v>376150</v>
      </c>
      <c r="F5" s="224">
        <f>'gw'!E279+samorządy!E9+inwestycje!E143</f>
        <v>376150</v>
      </c>
      <c r="H5" s="5"/>
      <c r="I5" s="5"/>
      <c r="J5" s="5"/>
    </row>
    <row r="6" spans="1:9" ht="12.75" outlineLevel="1">
      <c r="A6" s="220"/>
      <c r="B6" s="217" t="s">
        <v>112</v>
      </c>
      <c r="C6" s="213"/>
      <c r="D6" s="278" t="s">
        <v>1</v>
      </c>
      <c r="E6" s="230">
        <f>SUM(E7:E8)</f>
        <v>265000</v>
      </c>
      <c r="I6" s="5"/>
    </row>
    <row r="7" spans="1:9" s="6" customFormat="1" ht="12.75" outlineLevel="2">
      <c r="A7" s="202"/>
      <c r="B7" s="200"/>
      <c r="C7" s="183">
        <v>4270</v>
      </c>
      <c r="D7" s="279" t="s">
        <v>2</v>
      </c>
      <c r="E7" s="490">
        <f>'gw'!E281</f>
        <v>155000</v>
      </c>
      <c r="I7" s="5"/>
    </row>
    <row r="8" spans="1:9" s="6" customFormat="1" ht="12.75" outlineLevel="2">
      <c r="A8" s="202"/>
      <c r="B8" s="200"/>
      <c r="C8" s="183">
        <v>4300</v>
      </c>
      <c r="D8" s="279" t="s">
        <v>8</v>
      </c>
      <c r="E8" s="518">
        <f>inwestycje!E145</f>
        <v>110000</v>
      </c>
      <c r="I8" s="5"/>
    </row>
    <row r="9" spans="1:9" ht="38.25" outlineLevel="1">
      <c r="A9" s="220"/>
      <c r="B9" s="216" t="s">
        <v>113</v>
      </c>
      <c r="C9" s="213"/>
      <c r="D9" s="278" t="s">
        <v>3</v>
      </c>
      <c r="E9" s="230">
        <f>E10</f>
        <v>2100</v>
      </c>
      <c r="I9" s="5"/>
    </row>
    <row r="10" spans="1:9" s="6" customFormat="1" ht="12.75" outlineLevel="2">
      <c r="A10" s="202"/>
      <c r="B10" s="192"/>
      <c r="C10" s="183">
        <v>4100</v>
      </c>
      <c r="D10" s="279" t="s">
        <v>4</v>
      </c>
      <c r="E10" s="490">
        <f>'gw'!E283</f>
        <v>2100</v>
      </c>
      <c r="I10" s="5"/>
    </row>
    <row r="11" spans="1:9" ht="12.75" outlineLevel="1">
      <c r="A11" s="220"/>
      <c r="B11" s="217" t="s">
        <v>221</v>
      </c>
      <c r="C11" s="213"/>
      <c r="D11" s="278" t="s">
        <v>222</v>
      </c>
      <c r="E11" s="230">
        <f>E12</f>
        <v>5040</v>
      </c>
      <c r="I11" s="5"/>
    </row>
    <row r="12" spans="1:9" s="6" customFormat="1" ht="22.5" outlineLevel="2">
      <c r="A12" s="202"/>
      <c r="B12" s="192"/>
      <c r="C12" s="183">
        <v>2850</v>
      </c>
      <c r="D12" s="279" t="s">
        <v>223</v>
      </c>
      <c r="E12" s="490">
        <f>'gw'!E285</f>
        <v>5040</v>
      </c>
      <c r="I12" s="5"/>
    </row>
    <row r="13" spans="1:9" ht="12.75" outlineLevel="1">
      <c r="A13" s="220"/>
      <c r="B13" s="216" t="s">
        <v>114</v>
      </c>
      <c r="C13" s="213"/>
      <c r="D13" s="278" t="s">
        <v>5</v>
      </c>
      <c r="E13" s="230">
        <f>SUM(E14:E16)</f>
        <v>104010</v>
      </c>
      <c r="I13" s="5"/>
    </row>
    <row r="14" spans="1:9" s="6" customFormat="1" ht="12.75" outlineLevel="2">
      <c r="A14" s="202"/>
      <c r="B14" s="200"/>
      <c r="C14" s="183">
        <v>3020</v>
      </c>
      <c r="D14" s="279" t="s">
        <v>6</v>
      </c>
      <c r="E14" s="490">
        <f>'gw'!E287</f>
        <v>4000</v>
      </c>
      <c r="I14" s="5"/>
    </row>
    <row r="15" spans="1:9" s="6" customFormat="1" ht="12.75" outlineLevel="2">
      <c r="A15" s="202"/>
      <c r="B15" s="200"/>
      <c r="C15" s="183">
        <v>4210</v>
      </c>
      <c r="D15" s="279" t="s">
        <v>7</v>
      </c>
      <c r="E15" s="490">
        <f>'gw'!E288+samorządy!E11</f>
        <v>92930</v>
      </c>
      <c r="I15" s="5"/>
    </row>
    <row r="16" spans="1:9" s="6" customFormat="1" ht="13.5" outlineLevel="2" thickBot="1">
      <c r="A16" s="202"/>
      <c r="B16" s="200"/>
      <c r="C16" s="183">
        <v>4300</v>
      </c>
      <c r="D16" s="279" t="s">
        <v>8</v>
      </c>
      <c r="E16" s="490">
        <f>'gw'!E289</f>
        <v>7080</v>
      </c>
      <c r="I16" s="5"/>
    </row>
    <row r="17" spans="1:9" s="6" customFormat="1" ht="13.5" hidden="1" outlineLevel="2" thickBot="1">
      <c r="A17" s="202"/>
      <c r="B17" s="200"/>
      <c r="C17" s="205">
        <v>4430</v>
      </c>
      <c r="D17" s="280" t="s">
        <v>9</v>
      </c>
      <c r="E17" s="491"/>
      <c r="I17" s="5"/>
    </row>
    <row r="18" spans="1:10" ht="32.25" collapsed="1" thickBot="1">
      <c r="A18" s="218">
        <v>400</v>
      </c>
      <c r="B18" s="214"/>
      <c r="C18" s="215"/>
      <c r="D18" s="277" t="s">
        <v>10</v>
      </c>
      <c r="E18" s="229">
        <f>E19+E21</f>
        <v>350000</v>
      </c>
      <c r="F18" s="224">
        <f>'gw'!E368</f>
        <v>350000</v>
      </c>
      <c r="H18" s="5"/>
      <c r="I18" s="5"/>
      <c r="J18" s="5"/>
    </row>
    <row r="19" spans="1:9" ht="12.75" outlineLevel="1">
      <c r="A19" s="220"/>
      <c r="B19" s="217">
        <v>40001</v>
      </c>
      <c r="C19" s="213"/>
      <c r="D19" s="278" t="s">
        <v>11</v>
      </c>
      <c r="E19" s="230">
        <f>E20</f>
        <v>50000</v>
      </c>
      <c r="I19" s="5"/>
    </row>
    <row r="20" spans="1:9" s="6" customFormat="1" ht="12.75" outlineLevel="2">
      <c r="A20" s="202"/>
      <c r="B20" s="192"/>
      <c r="C20" s="183">
        <v>4300</v>
      </c>
      <c r="D20" s="279" t="s">
        <v>8</v>
      </c>
      <c r="E20" s="490">
        <f>'gw'!E370</f>
        <v>50000</v>
      </c>
      <c r="I20" s="5"/>
    </row>
    <row r="21" spans="1:9" ht="12.75" outlineLevel="1">
      <c r="A21" s="220"/>
      <c r="B21" s="217">
        <v>40002</v>
      </c>
      <c r="C21" s="213"/>
      <c r="D21" s="278" t="s">
        <v>12</v>
      </c>
      <c r="E21" s="230">
        <f>E22</f>
        <v>300000</v>
      </c>
      <c r="I21" s="5"/>
    </row>
    <row r="22" spans="1:9" s="6" customFormat="1" ht="13.5" outlineLevel="2" thickBot="1">
      <c r="A22" s="202"/>
      <c r="B22" s="228"/>
      <c r="C22" s="205">
        <v>4300</v>
      </c>
      <c r="D22" s="280" t="s">
        <v>8</v>
      </c>
      <c r="E22" s="491">
        <f>'gw'!E372</f>
        <v>300000</v>
      </c>
      <c r="I22" s="5"/>
    </row>
    <row r="23" spans="1:10" ht="16.5" thickBot="1">
      <c r="A23" s="218">
        <v>600</v>
      </c>
      <c r="B23" s="214"/>
      <c r="C23" s="215"/>
      <c r="D23" s="277" t="s">
        <v>14</v>
      </c>
      <c r="E23" s="229">
        <f>E24+E26+E31</f>
        <v>239970032</v>
      </c>
      <c r="F23" s="224">
        <f>'gw'!E244+'gw'!E373+samorządy!E12+inwestycje!E122+inwestycje!E30</f>
        <v>239970032</v>
      </c>
      <c r="G23" s="5"/>
      <c r="H23" s="5"/>
      <c r="I23" s="5"/>
      <c r="J23" s="5"/>
    </row>
    <row r="24" spans="1:9" ht="12.75" outlineLevel="1">
      <c r="A24" s="220"/>
      <c r="B24" s="217">
        <v>60004</v>
      </c>
      <c r="C24" s="213"/>
      <c r="D24" s="278" t="s">
        <v>15</v>
      </c>
      <c r="E24" s="230">
        <f>E25</f>
        <v>222197938</v>
      </c>
      <c r="H24" s="5"/>
      <c r="I24" s="5"/>
    </row>
    <row r="25" spans="1:9" s="6" customFormat="1" ht="12.75" outlineLevel="2">
      <c r="A25" s="202"/>
      <c r="B25" s="192"/>
      <c r="C25" s="183">
        <v>4300</v>
      </c>
      <c r="D25" s="279" t="s">
        <v>8</v>
      </c>
      <c r="E25" s="490">
        <f>'gw'!E246+'gw'!E375</f>
        <v>222197938</v>
      </c>
      <c r="I25" s="5"/>
    </row>
    <row r="26" spans="1:9" ht="13.5" customHeight="1" outlineLevel="1">
      <c r="A26" s="220"/>
      <c r="B26" s="216">
        <v>60016</v>
      </c>
      <c r="C26" s="213"/>
      <c r="D26" s="278" t="s">
        <v>16</v>
      </c>
      <c r="E26" s="230">
        <f>SUM(E27:E30)</f>
        <v>3612182</v>
      </c>
      <c r="H26" s="5"/>
      <c r="I26" s="5"/>
    </row>
    <row r="27" spans="1:9" s="6" customFormat="1" ht="12.75" outlineLevel="2">
      <c r="A27" s="202"/>
      <c r="B27" s="200"/>
      <c r="C27" s="183">
        <v>4210</v>
      </c>
      <c r="D27" s="279" t="s">
        <v>7</v>
      </c>
      <c r="E27" s="490">
        <f>samorządy!E14</f>
        <v>11763</v>
      </c>
      <c r="I27" s="5"/>
    </row>
    <row r="28" spans="1:9" s="6" customFormat="1" ht="12.75" outlineLevel="2">
      <c r="A28" s="202"/>
      <c r="B28" s="200"/>
      <c r="C28" s="183">
        <v>4270</v>
      </c>
      <c r="D28" s="279" t="s">
        <v>2</v>
      </c>
      <c r="E28" s="490">
        <f>samorządy!E15</f>
        <v>102355</v>
      </c>
      <c r="I28" s="5"/>
    </row>
    <row r="29" spans="1:9" s="6" customFormat="1" ht="12.75" outlineLevel="2">
      <c r="A29" s="202"/>
      <c r="B29" s="200"/>
      <c r="C29" s="183">
        <v>4300</v>
      </c>
      <c r="D29" s="279" t="s">
        <v>8</v>
      </c>
      <c r="E29" s="490">
        <f>samorządy!E16</f>
        <v>162564</v>
      </c>
      <c r="I29" s="5"/>
    </row>
    <row r="30" spans="1:9" s="6" customFormat="1" ht="33.75" outlineLevel="2">
      <c r="A30" s="202"/>
      <c r="B30" s="200"/>
      <c r="C30" s="183">
        <v>6230</v>
      </c>
      <c r="D30" s="279" t="s">
        <v>257</v>
      </c>
      <c r="E30" s="490">
        <f>inwestycje!E32</f>
        <v>3335500</v>
      </c>
      <c r="I30" s="5"/>
    </row>
    <row r="31" spans="1:9" ht="12.75" outlineLevel="1">
      <c r="A31" s="220"/>
      <c r="B31" s="216">
        <v>60095</v>
      </c>
      <c r="C31" s="213"/>
      <c r="D31" s="278" t="s">
        <v>5</v>
      </c>
      <c r="E31" s="230">
        <f>SUM(E33:E37)</f>
        <v>14159912</v>
      </c>
      <c r="H31" s="5"/>
      <c r="I31" s="5"/>
    </row>
    <row r="32" spans="1:9" s="6" customFormat="1" ht="12.75" hidden="1" outlineLevel="2">
      <c r="A32" s="202"/>
      <c r="B32" s="200"/>
      <c r="C32" s="183">
        <v>3030</v>
      </c>
      <c r="D32" s="279" t="s">
        <v>17</v>
      </c>
      <c r="E32" s="490"/>
      <c r="I32" s="5"/>
    </row>
    <row r="33" spans="1:9" s="6" customFormat="1" ht="12.75" outlineLevel="2">
      <c r="A33" s="202"/>
      <c r="B33" s="200"/>
      <c r="C33" s="183">
        <v>4210</v>
      </c>
      <c r="D33" s="279" t="s">
        <v>7</v>
      </c>
      <c r="E33" s="490">
        <f>'gw'!E248</f>
        <v>4000</v>
      </c>
      <c r="I33" s="5"/>
    </row>
    <row r="34" spans="1:9" s="6" customFormat="1" ht="12.75" outlineLevel="2">
      <c r="A34" s="202"/>
      <c r="B34" s="200"/>
      <c r="C34" s="183">
        <v>4270</v>
      </c>
      <c r="D34" s="279" t="s">
        <v>2</v>
      </c>
      <c r="E34" s="490">
        <f>samorządy!E18</f>
        <v>46912</v>
      </c>
      <c r="I34" s="5"/>
    </row>
    <row r="35" spans="1:9" s="6" customFormat="1" ht="12.75" outlineLevel="2">
      <c r="A35" s="202"/>
      <c r="B35" s="200"/>
      <c r="C35" s="183">
        <v>4300</v>
      </c>
      <c r="D35" s="279" t="s">
        <v>8</v>
      </c>
      <c r="E35" s="490">
        <f>'gw'!E249+samorządy!E19</f>
        <v>608000</v>
      </c>
      <c r="I35" s="5"/>
    </row>
    <row r="36" spans="1:9" s="6" customFormat="1" ht="12.75" outlineLevel="2">
      <c r="A36" s="202"/>
      <c r="B36" s="200"/>
      <c r="C36" s="205">
        <v>4430</v>
      </c>
      <c r="D36" s="280" t="s">
        <v>9</v>
      </c>
      <c r="E36" s="490">
        <f>'gw'!E250</f>
        <v>1000</v>
      </c>
      <c r="I36" s="5"/>
    </row>
    <row r="37" spans="1:9" s="6" customFormat="1" ht="23.25" outlineLevel="2" thickBot="1">
      <c r="A37" s="202"/>
      <c r="B37" s="200"/>
      <c r="C37" s="205">
        <v>6010</v>
      </c>
      <c r="D37" s="280" t="s">
        <v>13</v>
      </c>
      <c r="E37" s="491">
        <f>inwestycje!E124</f>
        <v>13500000</v>
      </c>
      <c r="I37" s="5"/>
    </row>
    <row r="38" spans="1:10" ht="16.5" thickBot="1">
      <c r="A38" s="190">
        <v>630</v>
      </c>
      <c r="B38" s="194"/>
      <c r="C38" s="182"/>
      <c r="D38" s="277" t="s">
        <v>18</v>
      </c>
      <c r="E38" s="229">
        <f>E39+E42</f>
        <v>241442</v>
      </c>
      <c r="F38" s="224">
        <f>'gw'!E170+samorządy!E20</f>
        <v>241442</v>
      </c>
      <c r="H38" s="5"/>
      <c r="I38" s="5"/>
      <c r="J38" s="5"/>
    </row>
    <row r="39" spans="1:9" ht="12.75" outlineLevel="1">
      <c r="A39" s="220"/>
      <c r="B39" s="217">
        <v>63003</v>
      </c>
      <c r="C39" s="213"/>
      <c r="D39" s="278" t="s">
        <v>19</v>
      </c>
      <c r="E39" s="230">
        <f>SUM(E40:E41)</f>
        <v>125000</v>
      </c>
      <c r="I39" s="5"/>
    </row>
    <row r="40" spans="1:9" s="6" customFormat="1" ht="22.5" outlineLevel="2">
      <c r="A40" s="202"/>
      <c r="B40" s="228"/>
      <c r="C40" s="183">
        <v>2630</v>
      </c>
      <c r="D40" s="279" t="s">
        <v>20</v>
      </c>
      <c r="E40" s="490">
        <f>'gw'!E172</f>
        <v>43100</v>
      </c>
      <c r="I40" s="5"/>
    </row>
    <row r="41" spans="1:9" s="6" customFormat="1" ht="12.75" outlineLevel="2">
      <c r="A41" s="202"/>
      <c r="B41" s="292"/>
      <c r="C41" s="183">
        <v>4300</v>
      </c>
      <c r="D41" s="279" t="s">
        <v>8</v>
      </c>
      <c r="E41" s="490">
        <f>'gw'!E173</f>
        <v>81900</v>
      </c>
      <c r="I41" s="5"/>
    </row>
    <row r="42" spans="1:9" ht="12.75" outlineLevel="1">
      <c r="A42" s="220"/>
      <c r="B42" s="216">
        <v>63095</v>
      </c>
      <c r="C42" s="213"/>
      <c r="D42" s="278" t="s">
        <v>5</v>
      </c>
      <c r="E42" s="230">
        <f>SUM(E43:E44)</f>
        <v>116442</v>
      </c>
      <c r="I42" s="5"/>
    </row>
    <row r="43" spans="1:9" s="6" customFormat="1" ht="12.75" outlineLevel="2">
      <c r="A43" s="202"/>
      <c r="B43" s="200"/>
      <c r="C43" s="183">
        <v>4210</v>
      </c>
      <c r="D43" s="279" t="s">
        <v>7</v>
      </c>
      <c r="E43" s="490">
        <f>samorządy!E22</f>
        <v>3884</v>
      </c>
      <c r="I43" s="5"/>
    </row>
    <row r="44" spans="1:9" s="6" customFormat="1" ht="13.5" outlineLevel="2" thickBot="1">
      <c r="A44" s="202"/>
      <c r="B44" s="200"/>
      <c r="C44" s="205">
        <v>4300</v>
      </c>
      <c r="D44" s="280" t="s">
        <v>8</v>
      </c>
      <c r="E44" s="490">
        <f>'gw'!E175+samorządy!E23</f>
        <v>112558</v>
      </c>
      <c r="I44" s="5"/>
    </row>
    <row r="45" spans="1:10" ht="16.5" thickBot="1">
      <c r="A45" s="190">
        <v>700</v>
      </c>
      <c r="B45" s="194"/>
      <c r="C45" s="182"/>
      <c r="D45" s="277" t="s">
        <v>21</v>
      </c>
      <c r="E45" s="229">
        <f>E46+E48+E50</f>
        <v>30636000</v>
      </c>
      <c r="F45" s="224">
        <f>'gw'!E376+inwestycje!E125+inwestycje!E140</f>
        <v>30636000</v>
      </c>
      <c r="H45" s="5"/>
      <c r="I45" s="5"/>
      <c r="J45" s="5"/>
    </row>
    <row r="46" spans="1:9" ht="12.75" outlineLevel="1">
      <c r="A46" s="220"/>
      <c r="B46" s="217">
        <v>70001</v>
      </c>
      <c r="C46" s="213"/>
      <c r="D46" s="281" t="s">
        <v>135</v>
      </c>
      <c r="E46" s="230">
        <f>SUM(E47)</f>
        <v>14200000</v>
      </c>
      <c r="I46" s="5"/>
    </row>
    <row r="47" spans="1:9" s="6" customFormat="1" ht="34.5" outlineLevel="2" thickBot="1">
      <c r="A47" s="203"/>
      <c r="B47" s="199"/>
      <c r="C47" s="184">
        <v>6210</v>
      </c>
      <c r="D47" s="282" t="s">
        <v>88</v>
      </c>
      <c r="E47" s="492">
        <f>inwestycje!E141</f>
        <v>14200000</v>
      </c>
      <c r="I47" s="5"/>
    </row>
    <row r="48" spans="1:9" ht="12.75" outlineLevel="1">
      <c r="A48" s="236"/>
      <c r="B48" s="237">
        <v>70021</v>
      </c>
      <c r="C48" s="227"/>
      <c r="D48" s="283" t="s">
        <v>227</v>
      </c>
      <c r="E48" s="432">
        <f>SUM(E49)</f>
        <v>14000000</v>
      </c>
      <c r="I48" s="5"/>
    </row>
    <row r="49" spans="1:10" s="6" customFormat="1" ht="22.5" outlineLevel="2">
      <c r="A49" s="202"/>
      <c r="B49" s="200"/>
      <c r="C49" s="183">
        <v>6010</v>
      </c>
      <c r="D49" s="279" t="s">
        <v>13</v>
      </c>
      <c r="E49" s="490">
        <f>inwestycje!E127</f>
        <v>14000000</v>
      </c>
      <c r="H49" s="271"/>
      <c r="I49" s="5"/>
      <c r="J49" s="271"/>
    </row>
    <row r="50" spans="1:10" ht="12.75" outlineLevel="1">
      <c r="A50" s="220"/>
      <c r="B50" s="216">
        <v>70095</v>
      </c>
      <c r="C50" s="213"/>
      <c r="D50" s="250" t="s">
        <v>5</v>
      </c>
      <c r="E50" s="232">
        <f>SUM(E51:E53)</f>
        <v>2436000</v>
      </c>
      <c r="H50" s="5"/>
      <c r="I50" s="5"/>
      <c r="J50" s="5"/>
    </row>
    <row r="51" spans="1:10" s="6" customFormat="1" ht="12.75" outlineLevel="2">
      <c r="A51" s="202"/>
      <c r="B51" s="200"/>
      <c r="C51" s="183">
        <v>4300</v>
      </c>
      <c r="D51" s="279" t="s">
        <v>8</v>
      </c>
      <c r="E51" s="490">
        <f>'gw'!E378</f>
        <v>136000</v>
      </c>
      <c r="H51" s="271"/>
      <c r="I51" s="5"/>
      <c r="J51" s="271"/>
    </row>
    <row r="52" spans="1:9" s="6" customFormat="1" ht="22.5" outlineLevel="2">
      <c r="A52" s="202"/>
      <c r="B52" s="200"/>
      <c r="C52" s="183">
        <v>6010</v>
      </c>
      <c r="D52" s="279" t="s">
        <v>13</v>
      </c>
      <c r="E52" s="490">
        <f>inwestycje!E129</f>
        <v>2000000</v>
      </c>
      <c r="I52" s="5"/>
    </row>
    <row r="53" spans="1:9" s="6" customFormat="1" ht="13.5" outlineLevel="2" thickBot="1">
      <c r="A53" s="203"/>
      <c r="B53" s="209"/>
      <c r="C53" s="184">
        <v>6050</v>
      </c>
      <c r="D53" s="282" t="s">
        <v>35</v>
      </c>
      <c r="E53" s="490">
        <f>inwestycje!E130</f>
        <v>300000</v>
      </c>
      <c r="I53" s="5"/>
    </row>
    <row r="54" spans="1:10" ht="16.5" thickBot="1">
      <c r="A54" s="190">
        <v>750</v>
      </c>
      <c r="B54" s="194"/>
      <c r="C54" s="182"/>
      <c r="D54" s="277" t="s">
        <v>22</v>
      </c>
      <c r="E54" s="229">
        <f>E55+E68+E90</f>
        <v>103214999</v>
      </c>
      <c r="F54" s="293">
        <f>'gw'!E436+'gw'!E427+'gw'!E416+'gw'!E406+'gw'!E401+'gw'!E391+'gw'!E359+'gw'!E352+'gw'!E347+'gw'!E310+'gw'!E304+'gw'!E297+'gw'!E292+'gw'!E177+'gw'!E157+'gw'!E128+'gw'!E122+'gw'!E79+'gw'!E71+'gw'!E66+'gw'!E44+'gw'!E28+'gw'!E25+samorządy!E24+inwestycje!E91+inwestycje!E96+inwestycje!E114+inwestycje!E118+inwestycje!E132</f>
        <v>103214999</v>
      </c>
      <c r="G54" s="5"/>
      <c r="H54" s="5"/>
      <c r="I54" s="5"/>
      <c r="J54" s="5"/>
    </row>
    <row r="55" spans="1:9" ht="12.75" outlineLevel="1">
      <c r="A55" s="220"/>
      <c r="B55" s="217">
        <v>75022</v>
      </c>
      <c r="C55" s="213"/>
      <c r="D55" s="278" t="s">
        <v>30</v>
      </c>
      <c r="E55" s="230">
        <f>SUM(E56:E67)</f>
        <v>2761580</v>
      </c>
      <c r="H55" s="5"/>
      <c r="I55" s="5"/>
    </row>
    <row r="56" spans="1:10" s="6" customFormat="1" ht="12.75" outlineLevel="2">
      <c r="A56" s="202"/>
      <c r="B56" s="200"/>
      <c r="C56" s="183">
        <v>3030</v>
      </c>
      <c r="D56" s="279" t="s">
        <v>17</v>
      </c>
      <c r="E56" s="490">
        <f>'gw'!E30</f>
        <v>1357000</v>
      </c>
      <c r="H56" s="271"/>
      <c r="I56" s="5"/>
      <c r="J56" s="271"/>
    </row>
    <row r="57" spans="1:10" s="6" customFormat="1" ht="12.75" outlineLevel="2">
      <c r="A57" s="202"/>
      <c r="B57" s="200"/>
      <c r="C57" s="183">
        <v>4010</v>
      </c>
      <c r="D57" s="279" t="s">
        <v>24</v>
      </c>
      <c r="E57" s="490">
        <f>'gw'!E31</f>
        <v>580000</v>
      </c>
      <c r="H57" s="271"/>
      <c r="I57" s="5"/>
      <c r="J57" s="271"/>
    </row>
    <row r="58" spans="1:10" s="6" customFormat="1" ht="12.75" outlineLevel="2">
      <c r="A58" s="202"/>
      <c r="B58" s="200"/>
      <c r="C58" s="183">
        <v>4040</v>
      </c>
      <c r="D58" s="279" t="s">
        <v>31</v>
      </c>
      <c r="E58" s="490">
        <f>'gw'!E32</f>
        <v>34500</v>
      </c>
      <c r="H58" s="271"/>
      <c r="I58" s="5"/>
      <c r="J58" s="271"/>
    </row>
    <row r="59" spans="1:10" s="6" customFormat="1" ht="12.75" outlineLevel="2">
      <c r="A59" s="202"/>
      <c r="B59" s="200"/>
      <c r="C59" s="183">
        <v>4110</v>
      </c>
      <c r="D59" s="279" t="s">
        <v>25</v>
      </c>
      <c r="E59" s="490">
        <f>'gw'!E33</f>
        <v>94450</v>
      </c>
      <c r="H59" s="271"/>
      <c r="I59" s="5"/>
      <c r="J59" s="271"/>
    </row>
    <row r="60" spans="1:10" s="6" customFormat="1" ht="12.75" outlineLevel="2">
      <c r="A60" s="202"/>
      <c r="B60" s="200"/>
      <c r="C60" s="183">
        <v>4120</v>
      </c>
      <c r="D60" s="279" t="s">
        <v>26</v>
      </c>
      <c r="E60" s="490">
        <f>'gw'!E34</f>
        <v>13630</v>
      </c>
      <c r="H60" s="271"/>
      <c r="I60" s="5"/>
      <c r="J60" s="271"/>
    </row>
    <row r="61" spans="1:10" s="6" customFormat="1" ht="12.75" outlineLevel="2">
      <c r="A61" s="202"/>
      <c r="B61" s="200"/>
      <c r="C61" s="183">
        <v>4210</v>
      </c>
      <c r="D61" s="279" t="s">
        <v>7</v>
      </c>
      <c r="E61" s="490">
        <f>'gw'!E35</f>
        <v>97000</v>
      </c>
      <c r="H61" s="271"/>
      <c r="I61" s="5"/>
      <c r="J61" s="271"/>
    </row>
    <row r="62" spans="1:10" s="6" customFormat="1" ht="12.75" outlineLevel="2">
      <c r="A62" s="202"/>
      <c r="B62" s="200"/>
      <c r="C62" s="183">
        <v>4270</v>
      </c>
      <c r="D62" s="279" t="s">
        <v>2</v>
      </c>
      <c r="E62" s="490">
        <f>'gw'!E36</f>
        <v>180000</v>
      </c>
      <c r="H62" s="271"/>
      <c r="I62" s="5"/>
      <c r="J62" s="271"/>
    </row>
    <row r="63" spans="1:10" s="6" customFormat="1" ht="12.75" outlineLevel="2">
      <c r="A63" s="202"/>
      <c r="B63" s="200"/>
      <c r="C63" s="183">
        <v>4300</v>
      </c>
      <c r="D63" s="279" t="s">
        <v>8</v>
      </c>
      <c r="E63" s="490">
        <f>'gw'!E37</f>
        <v>210000</v>
      </c>
      <c r="H63" s="271"/>
      <c r="I63" s="5"/>
      <c r="J63" s="271"/>
    </row>
    <row r="64" spans="1:10" s="6" customFormat="1" ht="12.75" outlineLevel="2">
      <c r="A64" s="202"/>
      <c r="B64" s="200"/>
      <c r="C64" s="183">
        <v>4410</v>
      </c>
      <c r="D64" s="279" t="s">
        <v>28</v>
      </c>
      <c r="E64" s="490">
        <f>'gw'!E38</f>
        <v>50000</v>
      </c>
      <c r="H64" s="271"/>
      <c r="I64" s="5"/>
      <c r="J64" s="271"/>
    </row>
    <row r="65" spans="1:10" s="6" customFormat="1" ht="12.75" outlineLevel="2">
      <c r="A65" s="202"/>
      <c r="B65" s="200"/>
      <c r="C65" s="183">
        <v>4420</v>
      </c>
      <c r="D65" s="279" t="s">
        <v>32</v>
      </c>
      <c r="E65" s="490">
        <f>'gw'!E39</f>
        <v>130000</v>
      </c>
      <c r="H65" s="271"/>
      <c r="I65" s="5"/>
      <c r="J65" s="271"/>
    </row>
    <row r="66" spans="1:10" s="6" customFormat="1" ht="12.75" outlineLevel="2">
      <c r="A66" s="202"/>
      <c r="B66" s="200"/>
      <c r="C66" s="183">
        <v>4430</v>
      </c>
      <c r="D66" s="279" t="s">
        <v>9</v>
      </c>
      <c r="E66" s="490">
        <f>'gw'!E40</f>
        <v>5000</v>
      </c>
      <c r="H66" s="271"/>
      <c r="I66" s="5"/>
      <c r="J66" s="271"/>
    </row>
    <row r="67" spans="1:10" s="6" customFormat="1" ht="12.75" outlineLevel="2">
      <c r="A67" s="202"/>
      <c r="B67" s="200"/>
      <c r="C67" s="183">
        <v>4440</v>
      </c>
      <c r="D67" s="279" t="s">
        <v>29</v>
      </c>
      <c r="E67" s="490">
        <f>'gw'!E41</f>
        <v>10000</v>
      </c>
      <c r="H67" s="271"/>
      <c r="I67" s="5"/>
      <c r="J67" s="271"/>
    </row>
    <row r="68" spans="1:10" ht="12.75" outlineLevel="1">
      <c r="A68" s="220"/>
      <c r="B68" s="216">
        <v>75023</v>
      </c>
      <c r="C68" s="213"/>
      <c r="D68" s="250" t="s">
        <v>245</v>
      </c>
      <c r="E68" s="232">
        <f>SUM(E69:E89)</f>
        <v>99702397</v>
      </c>
      <c r="H68" s="5"/>
      <c r="I68" s="5"/>
      <c r="J68" s="5"/>
    </row>
    <row r="69" spans="1:10" s="6" customFormat="1" ht="12.75" outlineLevel="2">
      <c r="A69" s="202"/>
      <c r="B69" s="200"/>
      <c r="C69" s="183">
        <v>3020</v>
      </c>
      <c r="D69" s="279" t="s">
        <v>6</v>
      </c>
      <c r="E69" s="490">
        <v>65066</v>
      </c>
      <c r="H69" s="271"/>
      <c r="I69" s="5"/>
      <c r="J69" s="271"/>
    </row>
    <row r="70" spans="1:11" s="6" customFormat="1" ht="12.75" outlineLevel="2">
      <c r="A70" s="202"/>
      <c r="B70" s="200"/>
      <c r="C70" s="183">
        <v>3030</v>
      </c>
      <c r="D70" s="279" t="s">
        <v>17</v>
      </c>
      <c r="E70" s="490">
        <v>43418</v>
      </c>
      <c r="H70" s="271"/>
      <c r="I70" s="5"/>
      <c r="J70" s="271"/>
      <c r="K70" s="8"/>
    </row>
    <row r="71" spans="1:10" s="6" customFormat="1" ht="12.75" outlineLevel="2">
      <c r="A71" s="202"/>
      <c r="B71" s="200"/>
      <c r="C71" s="183">
        <v>4010</v>
      </c>
      <c r="D71" s="279" t="s">
        <v>24</v>
      </c>
      <c r="E71" s="490">
        <v>34935165</v>
      </c>
      <c r="H71" s="271"/>
      <c r="I71" s="5"/>
      <c r="J71" s="271"/>
    </row>
    <row r="72" spans="1:10" s="6" customFormat="1" ht="12.75" outlineLevel="2">
      <c r="A72" s="202"/>
      <c r="B72" s="200"/>
      <c r="C72" s="183">
        <v>4040</v>
      </c>
      <c r="D72" s="279" t="s">
        <v>31</v>
      </c>
      <c r="E72" s="490">
        <v>2604049</v>
      </c>
      <c r="H72" s="271"/>
      <c r="I72" s="5"/>
      <c r="J72" s="271"/>
    </row>
    <row r="73" spans="1:10" s="6" customFormat="1" ht="12.75" outlineLevel="2">
      <c r="A73" s="202"/>
      <c r="B73" s="200"/>
      <c r="C73" s="183">
        <v>4110</v>
      </c>
      <c r="D73" s="279" t="s">
        <v>25</v>
      </c>
      <c r="E73" s="490">
        <v>6487268</v>
      </c>
      <c r="H73" s="271"/>
      <c r="I73" s="5"/>
      <c r="J73" s="271"/>
    </row>
    <row r="74" spans="1:10" s="6" customFormat="1" ht="12.75" outlineLevel="2">
      <c r="A74" s="202"/>
      <c r="B74" s="200"/>
      <c r="C74" s="183">
        <v>4120</v>
      </c>
      <c r="D74" s="279" t="s">
        <v>26</v>
      </c>
      <c r="E74" s="490">
        <v>889283</v>
      </c>
      <c r="H74" s="271"/>
      <c r="I74" s="5"/>
      <c r="J74" s="271"/>
    </row>
    <row r="75" spans="1:10" s="6" customFormat="1" ht="13.5" customHeight="1" outlineLevel="2">
      <c r="A75" s="202"/>
      <c r="B75" s="200"/>
      <c r="C75" s="183">
        <v>4140</v>
      </c>
      <c r="D75" s="279" t="s">
        <v>230</v>
      </c>
      <c r="E75" s="490">
        <v>26100</v>
      </c>
      <c r="H75" s="271"/>
      <c r="I75" s="5"/>
      <c r="J75" s="271"/>
    </row>
    <row r="76" spans="1:10" s="6" customFormat="1" ht="12.75" outlineLevel="2">
      <c r="A76" s="202"/>
      <c r="B76" s="200"/>
      <c r="C76" s="183">
        <v>4210</v>
      </c>
      <c r="D76" s="279" t="s">
        <v>7</v>
      </c>
      <c r="E76" s="490">
        <v>6859276</v>
      </c>
      <c r="H76" s="271"/>
      <c r="I76" s="5"/>
      <c r="J76" s="271"/>
    </row>
    <row r="77" spans="1:10" s="6" customFormat="1" ht="12.75" outlineLevel="2">
      <c r="A77" s="202"/>
      <c r="B77" s="200"/>
      <c r="C77" s="183">
        <v>4260</v>
      </c>
      <c r="D77" s="279" t="s">
        <v>27</v>
      </c>
      <c r="E77" s="490">
        <v>1898300</v>
      </c>
      <c r="H77" s="271"/>
      <c r="I77" s="5"/>
      <c r="J77" s="271"/>
    </row>
    <row r="78" spans="1:10" s="6" customFormat="1" ht="12.75" outlineLevel="2">
      <c r="A78" s="202"/>
      <c r="B78" s="200"/>
      <c r="C78" s="183">
        <v>4270</v>
      </c>
      <c r="D78" s="279" t="s">
        <v>2</v>
      </c>
      <c r="E78" s="490">
        <v>4997700</v>
      </c>
      <c r="H78" s="271"/>
      <c r="I78" s="5"/>
      <c r="J78" s="271"/>
    </row>
    <row r="79" spans="1:10" s="6" customFormat="1" ht="12.75" outlineLevel="2">
      <c r="A79" s="202"/>
      <c r="B79" s="200"/>
      <c r="C79" s="183">
        <v>4280</v>
      </c>
      <c r="D79" s="279" t="s">
        <v>231</v>
      </c>
      <c r="E79" s="490">
        <v>31350</v>
      </c>
      <c r="H79" s="271"/>
      <c r="I79" s="5"/>
      <c r="J79" s="271"/>
    </row>
    <row r="80" spans="1:10" s="6" customFormat="1" ht="12.75" outlineLevel="2">
      <c r="A80" s="202"/>
      <c r="B80" s="200"/>
      <c r="C80" s="183">
        <v>4300</v>
      </c>
      <c r="D80" s="279" t="s">
        <v>8</v>
      </c>
      <c r="E80" s="490">
        <v>20254554</v>
      </c>
      <c r="H80" s="271"/>
      <c r="I80" s="5"/>
      <c r="J80" s="271"/>
    </row>
    <row r="81" spans="1:10" s="6" customFormat="1" ht="12.75" outlineLevel="2">
      <c r="A81" s="202"/>
      <c r="B81" s="200"/>
      <c r="C81" s="183">
        <v>4410</v>
      </c>
      <c r="D81" s="279" t="s">
        <v>28</v>
      </c>
      <c r="E81" s="490">
        <v>958844</v>
      </c>
      <c r="H81" s="271"/>
      <c r="I81" s="5"/>
      <c r="J81" s="271"/>
    </row>
    <row r="82" spans="1:10" s="6" customFormat="1" ht="12.75" outlineLevel="2">
      <c r="A82" s="202"/>
      <c r="B82" s="200"/>
      <c r="C82" s="183">
        <v>4420</v>
      </c>
      <c r="D82" s="279" t="s">
        <v>32</v>
      </c>
      <c r="E82" s="490">
        <v>612993</v>
      </c>
      <c r="H82" s="271"/>
      <c r="I82" s="5"/>
      <c r="J82" s="271"/>
    </row>
    <row r="83" spans="1:10" s="6" customFormat="1" ht="12.75" outlineLevel="2">
      <c r="A83" s="202"/>
      <c r="B83" s="200"/>
      <c r="C83" s="183">
        <v>4430</v>
      </c>
      <c r="D83" s="279" t="s">
        <v>9</v>
      </c>
      <c r="E83" s="490">
        <v>215712</v>
      </c>
      <c r="H83" s="271"/>
      <c r="I83" s="5"/>
      <c r="J83" s="271"/>
    </row>
    <row r="84" spans="1:10" s="6" customFormat="1" ht="12.75" outlineLevel="2">
      <c r="A84" s="202"/>
      <c r="B84" s="200"/>
      <c r="C84" s="183">
        <v>4440</v>
      </c>
      <c r="D84" s="279" t="s">
        <v>29</v>
      </c>
      <c r="E84" s="490">
        <v>620154</v>
      </c>
      <c r="H84" s="271"/>
      <c r="I84" s="5"/>
      <c r="J84" s="271"/>
    </row>
    <row r="85" spans="1:10" s="6" customFormat="1" ht="12.75" outlineLevel="2">
      <c r="A85" s="202"/>
      <c r="B85" s="200"/>
      <c r="C85" s="183">
        <v>4580</v>
      </c>
      <c r="D85" s="279" t="s">
        <v>232</v>
      </c>
      <c r="E85" s="490">
        <v>3171</v>
      </c>
      <c r="H85" s="271"/>
      <c r="I85" s="5"/>
      <c r="J85" s="271"/>
    </row>
    <row r="86" spans="1:10" s="6" customFormat="1" ht="12.75" outlineLevel="2">
      <c r="A86" s="202"/>
      <c r="B86" s="200"/>
      <c r="C86" s="183">
        <v>4590</v>
      </c>
      <c r="D86" s="279" t="s">
        <v>34</v>
      </c>
      <c r="E86" s="490">
        <v>51000</v>
      </c>
      <c r="H86" s="271"/>
      <c r="I86" s="5"/>
      <c r="J86" s="271"/>
    </row>
    <row r="87" spans="1:10" s="6" customFormat="1" ht="12.75" outlineLevel="2">
      <c r="A87" s="202"/>
      <c r="B87" s="200"/>
      <c r="C87" s="183">
        <v>4610</v>
      </c>
      <c r="D87" s="279" t="s">
        <v>237</v>
      </c>
      <c r="E87" s="490">
        <v>215194</v>
      </c>
      <c r="H87" s="271"/>
      <c r="I87" s="5"/>
      <c r="J87" s="271"/>
    </row>
    <row r="88" spans="1:10" s="6" customFormat="1" ht="12.75" outlineLevel="2">
      <c r="A88" s="202"/>
      <c r="B88" s="200"/>
      <c r="C88" s="183">
        <v>6050</v>
      </c>
      <c r="D88" s="279" t="s">
        <v>35</v>
      </c>
      <c r="E88" s="490">
        <v>3443800</v>
      </c>
      <c r="H88" s="271"/>
      <c r="I88" s="5"/>
      <c r="J88" s="271"/>
    </row>
    <row r="89" spans="1:10" s="6" customFormat="1" ht="12.75" outlineLevel="2">
      <c r="A89" s="202"/>
      <c r="B89" s="200"/>
      <c r="C89" s="183">
        <v>6060</v>
      </c>
      <c r="D89" s="279" t="s">
        <v>36</v>
      </c>
      <c r="E89" s="490">
        <v>14490000</v>
      </c>
      <c r="H89" s="271"/>
      <c r="I89" s="5"/>
      <c r="J89" s="271"/>
    </row>
    <row r="90" spans="1:9" ht="12.75" outlineLevel="1">
      <c r="A90" s="220"/>
      <c r="B90" s="216">
        <v>75095</v>
      </c>
      <c r="C90" s="213"/>
      <c r="D90" s="278" t="s">
        <v>5</v>
      </c>
      <c r="E90" s="232">
        <f>SUM(E91:E102)</f>
        <v>751022</v>
      </c>
      <c r="H90" s="5"/>
      <c r="I90" s="5"/>
    </row>
    <row r="91" spans="1:9" s="6" customFormat="1" ht="22.5" outlineLevel="2">
      <c r="A91" s="202"/>
      <c r="B91" s="200"/>
      <c r="C91" s="183">
        <v>2820</v>
      </c>
      <c r="D91" s="279" t="s">
        <v>38</v>
      </c>
      <c r="E91" s="490">
        <f>'gw'!E314</f>
        <v>6500</v>
      </c>
      <c r="G91" s="270"/>
      <c r="I91" s="5"/>
    </row>
    <row r="92" spans="1:9" s="6" customFormat="1" ht="12.75" outlineLevel="2">
      <c r="A92" s="202"/>
      <c r="B92" s="200"/>
      <c r="C92" s="183">
        <v>3020</v>
      </c>
      <c r="D92" s="279" t="s">
        <v>6</v>
      </c>
      <c r="E92" s="490">
        <f>'gw'!E315</f>
        <v>1805</v>
      </c>
      <c r="G92" s="270"/>
      <c r="I92" s="5"/>
    </row>
    <row r="93" spans="1:9" s="6" customFormat="1" ht="12.75" outlineLevel="2">
      <c r="A93" s="202"/>
      <c r="B93" s="200"/>
      <c r="C93" s="183">
        <v>3030</v>
      </c>
      <c r="D93" s="279" t="s">
        <v>17</v>
      </c>
      <c r="E93" s="490">
        <f>samorządy!E26</f>
        <v>169742</v>
      </c>
      <c r="G93" s="270"/>
      <c r="I93" s="5"/>
    </row>
    <row r="94" spans="1:9" s="6" customFormat="1" ht="12.75" outlineLevel="2">
      <c r="A94" s="202"/>
      <c r="B94" s="200"/>
      <c r="C94" s="183">
        <v>4110</v>
      </c>
      <c r="D94" s="279" t="s">
        <v>25</v>
      </c>
      <c r="E94" s="490">
        <f>samorządy!E27</f>
        <v>2202</v>
      </c>
      <c r="G94" s="270"/>
      <c r="I94" s="5"/>
    </row>
    <row r="95" spans="1:9" s="6" customFormat="1" ht="12.75" outlineLevel="2">
      <c r="A95" s="202"/>
      <c r="B95" s="200"/>
      <c r="C95" s="183">
        <v>4120</v>
      </c>
      <c r="D95" s="279" t="s">
        <v>26</v>
      </c>
      <c r="E95" s="490">
        <f>samorządy!E28</f>
        <v>188</v>
      </c>
      <c r="G95" s="270"/>
      <c r="I95" s="5"/>
    </row>
    <row r="96" spans="1:9" s="6" customFormat="1" ht="12.75" outlineLevel="2">
      <c r="A96" s="202"/>
      <c r="B96" s="200"/>
      <c r="C96" s="183">
        <v>4210</v>
      </c>
      <c r="D96" s="279" t="s">
        <v>7</v>
      </c>
      <c r="E96" s="490">
        <f>'gw'!E316+samorządy!E29</f>
        <v>154426</v>
      </c>
      <c r="G96" s="270"/>
      <c r="I96" s="5"/>
    </row>
    <row r="97" spans="1:9" s="6" customFormat="1" ht="12.75" outlineLevel="2">
      <c r="A97" s="202"/>
      <c r="B97" s="200"/>
      <c r="C97" s="183">
        <v>4240</v>
      </c>
      <c r="D97" s="279" t="s">
        <v>39</v>
      </c>
      <c r="E97" s="490">
        <f>'gw'!E317</f>
        <v>1400</v>
      </c>
      <c r="G97" s="270"/>
      <c r="I97" s="5"/>
    </row>
    <row r="98" spans="1:9" s="6" customFormat="1" ht="12.75" outlineLevel="2">
      <c r="A98" s="202"/>
      <c r="B98" s="200"/>
      <c r="C98" s="183">
        <v>4260</v>
      </c>
      <c r="D98" s="279" t="s">
        <v>27</v>
      </c>
      <c r="E98" s="490">
        <f>samorządy!E30</f>
        <v>17221</v>
      </c>
      <c r="G98" s="270"/>
      <c r="I98" s="5"/>
    </row>
    <row r="99" spans="1:9" s="6" customFormat="1" ht="12.75" outlineLevel="2">
      <c r="A99" s="202"/>
      <c r="B99" s="200"/>
      <c r="C99" s="183">
        <v>4270</v>
      </c>
      <c r="D99" s="279" t="s">
        <v>2</v>
      </c>
      <c r="E99" s="490">
        <f>samorządy!E31</f>
        <v>35799</v>
      </c>
      <c r="G99" s="270"/>
      <c r="I99" s="5"/>
    </row>
    <row r="100" spans="1:9" s="6" customFormat="1" ht="12.75" outlineLevel="2">
      <c r="A100" s="202"/>
      <c r="B100" s="200"/>
      <c r="C100" s="183">
        <v>4300</v>
      </c>
      <c r="D100" s="279" t="s">
        <v>8</v>
      </c>
      <c r="E100" s="490">
        <f>'gw'!E318+samorządy!E32</f>
        <v>313936</v>
      </c>
      <c r="G100" s="270"/>
      <c r="I100" s="5"/>
    </row>
    <row r="101" spans="1:9" s="6" customFormat="1" ht="12.75" outlineLevel="2">
      <c r="A101" s="202"/>
      <c r="B101" s="200"/>
      <c r="C101" s="183">
        <v>4410</v>
      </c>
      <c r="D101" s="279" t="s">
        <v>28</v>
      </c>
      <c r="E101" s="490">
        <f>samorządy!E33</f>
        <v>37803</v>
      </c>
      <c r="G101" s="270"/>
      <c r="I101" s="5"/>
    </row>
    <row r="102" spans="1:9" s="6" customFormat="1" ht="13.5" outlineLevel="2" thickBot="1">
      <c r="A102" s="203"/>
      <c r="B102" s="209"/>
      <c r="C102" s="184">
        <v>4610</v>
      </c>
      <c r="D102" s="282" t="s">
        <v>40</v>
      </c>
      <c r="E102" s="492">
        <f>'gw'!E319</f>
        <v>10000</v>
      </c>
      <c r="G102" s="270"/>
      <c r="I102" s="5"/>
    </row>
    <row r="103" spans="1:10" ht="48" thickBot="1">
      <c r="A103" s="190">
        <v>751</v>
      </c>
      <c r="B103" s="194"/>
      <c r="C103" s="182"/>
      <c r="D103" s="277" t="s">
        <v>41</v>
      </c>
      <c r="E103" s="229">
        <f>E104</f>
        <v>290000</v>
      </c>
      <c r="F103" s="224">
        <f>'gw'!E61</f>
        <v>290000</v>
      </c>
      <c r="H103" s="5"/>
      <c r="I103" s="5"/>
      <c r="J103" s="5"/>
    </row>
    <row r="104" spans="1:5" s="17" customFormat="1" ht="25.5">
      <c r="A104" s="65"/>
      <c r="B104" s="117">
        <v>75109</v>
      </c>
      <c r="C104" s="34"/>
      <c r="D104" s="247" t="s">
        <v>404</v>
      </c>
      <c r="E104" s="35">
        <f>SUM(E105:E106)</f>
        <v>290000</v>
      </c>
    </row>
    <row r="105" spans="1:9" s="6" customFormat="1" ht="12.75" outlineLevel="2">
      <c r="A105" s="202"/>
      <c r="B105" s="200"/>
      <c r="C105" s="183" t="s">
        <v>399</v>
      </c>
      <c r="D105" s="279" t="s">
        <v>7</v>
      </c>
      <c r="E105" s="490">
        <v>90000</v>
      </c>
      <c r="I105" s="5"/>
    </row>
    <row r="106" spans="1:9" s="6" customFormat="1" ht="13.5" outlineLevel="2" thickBot="1">
      <c r="A106" s="202"/>
      <c r="B106" s="200"/>
      <c r="C106" s="183" t="s">
        <v>307</v>
      </c>
      <c r="D106" s="279" t="s">
        <v>8</v>
      </c>
      <c r="E106" s="490">
        <v>200000</v>
      </c>
      <c r="I106" s="5"/>
    </row>
    <row r="107" spans="1:10" ht="16.5" thickBot="1">
      <c r="A107" s="190">
        <v>752</v>
      </c>
      <c r="B107" s="194"/>
      <c r="C107" s="182"/>
      <c r="D107" s="277" t="s">
        <v>43</v>
      </c>
      <c r="E107" s="229">
        <f>E108</f>
        <v>100000</v>
      </c>
      <c r="F107" s="224">
        <f>'gw'!E394</f>
        <v>100000</v>
      </c>
      <c r="H107" s="5"/>
      <c r="I107" s="5"/>
      <c r="J107" s="5"/>
    </row>
    <row r="108" spans="1:9" ht="12.75" outlineLevel="1">
      <c r="A108" s="220"/>
      <c r="B108" s="217">
        <v>75201</v>
      </c>
      <c r="C108" s="213"/>
      <c r="D108" s="278" t="s">
        <v>44</v>
      </c>
      <c r="E108" s="232">
        <f>E109</f>
        <v>100000</v>
      </c>
      <c r="I108" s="5"/>
    </row>
    <row r="109" spans="1:9" s="6" customFormat="1" ht="13.5" outlineLevel="2" thickBot="1">
      <c r="A109" s="203"/>
      <c r="B109" s="273"/>
      <c r="C109" s="184">
        <v>3110</v>
      </c>
      <c r="D109" s="282" t="s">
        <v>45</v>
      </c>
      <c r="E109" s="492">
        <f>'gw'!E395</f>
        <v>100000</v>
      </c>
      <c r="I109" s="5"/>
    </row>
    <row r="110" spans="1:10" ht="32.25" thickBot="1">
      <c r="A110" s="190">
        <v>754</v>
      </c>
      <c r="B110" s="194"/>
      <c r="C110" s="182"/>
      <c r="D110" s="277" t="s">
        <v>46</v>
      </c>
      <c r="E110" s="229">
        <f>E111+E117+E130</f>
        <v>9552350</v>
      </c>
      <c r="F110" s="224">
        <f>inwestycje!E51+samorządy!E34+'gw'!E265+'gw'!E321+'gw'!E333</f>
        <v>9552350</v>
      </c>
      <c r="G110" s="5">
        <f>F110-E110</f>
        <v>0</v>
      </c>
      <c r="H110" s="5"/>
      <c r="I110" s="5"/>
      <c r="J110" s="5"/>
    </row>
    <row r="111" spans="1:9" ht="15" customHeight="1" outlineLevel="1">
      <c r="A111" s="220"/>
      <c r="B111" s="217">
        <v>75412</v>
      </c>
      <c r="C111" s="213"/>
      <c r="D111" s="278" t="s">
        <v>47</v>
      </c>
      <c r="E111" s="232">
        <f>SUM(E112:E116)</f>
        <v>77600</v>
      </c>
      <c r="I111" s="5"/>
    </row>
    <row r="112" spans="1:9" s="6" customFormat="1" ht="12.75" outlineLevel="2">
      <c r="A112" s="202"/>
      <c r="B112" s="200"/>
      <c r="C112" s="183">
        <v>4210</v>
      </c>
      <c r="D112" s="279" t="s">
        <v>7</v>
      </c>
      <c r="E112" s="490">
        <f>'gw'!E323</f>
        <v>40921</v>
      </c>
      <c r="I112" s="5"/>
    </row>
    <row r="113" spans="1:9" s="6" customFormat="1" ht="12.75" outlineLevel="2">
      <c r="A113" s="202"/>
      <c r="B113" s="200"/>
      <c r="C113" s="183">
        <v>4260</v>
      </c>
      <c r="D113" s="279" t="s">
        <v>27</v>
      </c>
      <c r="E113" s="490">
        <f>'gw'!E324</f>
        <v>6774</v>
      </c>
      <c r="I113" s="5"/>
    </row>
    <row r="114" spans="1:9" s="6" customFormat="1" ht="12.75" outlineLevel="2">
      <c r="A114" s="202"/>
      <c r="B114" s="200"/>
      <c r="C114" s="183">
        <v>4270</v>
      </c>
      <c r="D114" s="279" t="s">
        <v>2</v>
      </c>
      <c r="E114" s="490">
        <f>'gw'!E325</f>
        <v>9159</v>
      </c>
      <c r="I114" s="5"/>
    </row>
    <row r="115" spans="1:9" s="6" customFormat="1" ht="12.75" outlineLevel="2">
      <c r="A115" s="202"/>
      <c r="B115" s="200"/>
      <c r="C115" s="183">
        <v>4300</v>
      </c>
      <c r="D115" s="279" t="s">
        <v>8</v>
      </c>
      <c r="E115" s="490">
        <f>'gw'!E326</f>
        <v>15894</v>
      </c>
      <c r="I115" s="5"/>
    </row>
    <row r="116" spans="1:9" s="6" customFormat="1" ht="12.75" outlineLevel="2">
      <c r="A116" s="202"/>
      <c r="B116" s="200"/>
      <c r="C116" s="183">
        <v>4430</v>
      </c>
      <c r="D116" s="279" t="s">
        <v>9</v>
      </c>
      <c r="E116" s="490">
        <f>'gw'!E327</f>
        <v>4852</v>
      </c>
      <c r="I116" s="5"/>
    </row>
    <row r="117" spans="1:9" ht="12.75" outlineLevel="1">
      <c r="A117" s="212"/>
      <c r="B117" s="34">
        <v>75416</v>
      </c>
      <c r="C117" s="51"/>
      <c r="D117" s="266" t="s">
        <v>123</v>
      </c>
      <c r="E117" s="232">
        <f>SUM(E118:E129)</f>
        <v>9348250</v>
      </c>
      <c r="I117" s="5"/>
    </row>
    <row r="118" spans="1:9" s="6" customFormat="1" ht="12.75" outlineLevel="2">
      <c r="A118" s="202"/>
      <c r="B118" s="200"/>
      <c r="C118" s="183">
        <v>4010</v>
      </c>
      <c r="D118" s="279" t="s">
        <v>24</v>
      </c>
      <c r="E118" s="490">
        <f>'gw'!E267</f>
        <v>6197910</v>
      </c>
      <c r="I118" s="5"/>
    </row>
    <row r="119" spans="1:9" s="6" customFormat="1" ht="12.75" outlineLevel="2">
      <c r="A119" s="202"/>
      <c r="B119" s="200"/>
      <c r="C119" s="183">
        <v>4040</v>
      </c>
      <c r="D119" s="279" t="s">
        <v>31</v>
      </c>
      <c r="E119" s="490">
        <f>'gw'!E268</f>
        <v>475869</v>
      </c>
      <c r="I119" s="5"/>
    </row>
    <row r="120" spans="1:9" s="6" customFormat="1" ht="12.75" outlineLevel="2">
      <c r="A120" s="202"/>
      <c r="B120" s="200"/>
      <c r="C120" s="183">
        <v>4110</v>
      </c>
      <c r="D120" s="279" t="s">
        <v>25</v>
      </c>
      <c r="E120" s="490">
        <f>'gw'!E269</f>
        <v>1188272</v>
      </c>
      <c r="I120" s="5"/>
    </row>
    <row r="121" spans="1:9" s="6" customFormat="1" ht="12.75" outlineLevel="2">
      <c r="A121" s="202"/>
      <c r="B121" s="200"/>
      <c r="C121" s="183">
        <v>4120</v>
      </c>
      <c r="D121" s="279" t="s">
        <v>26</v>
      </c>
      <c r="E121" s="490">
        <f>'gw'!E270</f>
        <v>161980</v>
      </c>
      <c r="I121" s="5"/>
    </row>
    <row r="122" spans="1:9" s="6" customFormat="1" ht="12.75" outlineLevel="2">
      <c r="A122" s="202"/>
      <c r="B122" s="200"/>
      <c r="C122" s="183">
        <v>4210</v>
      </c>
      <c r="D122" s="279" t="s">
        <v>7</v>
      </c>
      <c r="E122" s="490">
        <f>'gw'!E271</f>
        <v>489991</v>
      </c>
      <c r="I122" s="5"/>
    </row>
    <row r="123" spans="1:9" s="6" customFormat="1" ht="12.75" outlineLevel="2">
      <c r="A123" s="202"/>
      <c r="B123" s="200"/>
      <c r="C123" s="183">
        <v>4260</v>
      </c>
      <c r="D123" s="279" t="s">
        <v>27</v>
      </c>
      <c r="E123" s="490">
        <f>'gw'!E272</f>
        <v>58303</v>
      </c>
      <c r="I123" s="5"/>
    </row>
    <row r="124" spans="1:9" s="6" customFormat="1" ht="12.75" outlineLevel="2">
      <c r="A124" s="202"/>
      <c r="B124" s="200"/>
      <c r="C124" s="183">
        <v>4270</v>
      </c>
      <c r="D124" s="279" t="s">
        <v>2</v>
      </c>
      <c r="E124" s="490">
        <f>'gw'!E273</f>
        <v>122357</v>
      </c>
      <c r="I124" s="5"/>
    </row>
    <row r="125" spans="1:9" s="6" customFormat="1" ht="12.75" outlineLevel="2">
      <c r="A125" s="202"/>
      <c r="B125" s="200"/>
      <c r="C125" s="183">
        <v>4300</v>
      </c>
      <c r="D125" s="279" t="s">
        <v>8</v>
      </c>
      <c r="E125" s="490">
        <f>'gw'!E274</f>
        <v>343395</v>
      </c>
      <c r="I125" s="5"/>
    </row>
    <row r="126" spans="1:9" s="6" customFormat="1" ht="12.75" outlineLevel="2">
      <c r="A126" s="202"/>
      <c r="B126" s="200"/>
      <c r="C126" s="183">
        <v>4410</v>
      </c>
      <c r="D126" s="279" t="s">
        <v>28</v>
      </c>
      <c r="E126" s="490">
        <f>'gw'!E275</f>
        <v>12847</v>
      </c>
      <c r="I126" s="5"/>
    </row>
    <row r="127" spans="1:9" s="6" customFormat="1" ht="12.75" outlineLevel="2">
      <c r="A127" s="202"/>
      <c r="B127" s="200"/>
      <c r="C127" s="183">
        <v>4430</v>
      </c>
      <c r="D127" s="279" t="s">
        <v>9</v>
      </c>
      <c r="E127" s="490">
        <f>'gw'!E276</f>
        <v>35066</v>
      </c>
      <c r="I127" s="5"/>
    </row>
    <row r="128" spans="1:9" s="6" customFormat="1" ht="12.75" outlineLevel="2">
      <c r="A128" s="202"/>
      <c r="B128" s="200"/>
      <c r="C128" s="183">
        <v>4440</v>
      </c>
      <c r="D128" s="279" t="s">
        <v>29</v>
      </c>
      <c r="E128" s="490">
        <f>'gw'!E277</f>
        <v>172260</v>
      </c>
      <c r="I128" s="5"/>
    </row>
    <row r="129" spans="1:9" s="6" customFormat="1" ht="12.75" outlineLevel="2">
      <c r="A129" s="202"/>
      <c r="B129" s="200"/>
      <c r="C129" s="183">
        <v>6060</v>
      </c>
      <c r="D129" s="279" t="s">
        <v>36</v>
      </c>
      <c r="E129" s="490">
        <f>inwestycje!E52</f>
        <v>90000</v>
      </c>
      <c r="I129" s="5"/>
    </row>
    <row r="130" spans="1:9" ht="12.75" outlineLevel="1">
      <c r="A130" s="220"/>
      <c r="B130" s="216">
        <v>75495</v>
      </c>
      <c r="C130" s="213"/>
      <c r="D130" s="278" t="s">
        <v>5</v>
      </c>
      <c r="E130" s="232">
        <f>SUM(E131:E133)</f>
        <v>126500</v>
      </c>
      <c r="I130" s="5"/>
    </row>
    <row r="131" spans="1:9" s="6" customFormat="1" ht="12.75" outlineLevel="2">
      <c r="A131" s="202"/>
      <c r="B131" s="200"/>
      <c r="C131" s="183">
        <v>3020</v>
      </c>
      <c r="D131" s="279" t="s">
        <v>6</v>
      </c>
      <c r="E131" s="490">
        <f>'gw'!E329</f>
        <v>15000</v>
      </c>
      <c r="I131" s="5"/>
    </row>
    <row r="132" spans="1:9" s="6" customFormat="1" ht="12.75" outlineLevel="2">
      <c r="A132" s="202"/>
      <c r="B132" s="200"/>
      <c r="C132" s="183">
        <v>4210</v>
      </c>
      <c r="D132" s="279" t="s">
        <v>7</v>
      </c>
      <c r="E132" s="490">
        <f>'gw'!E330+'gw'!E335+samorządy!E36</f>
        <v>23460</v>
      </c>
      <c r="I132" s="5"/>
    </row>
    <row r="133" spans="1:9" s="6" customFormat="1" ht="13.5" outlineLevel="2" thickBot="1">
      <c r="A133" s="202"/>
      <c r="B133" s="200"/>
      <c r="C133" s="183">
        <v>4300</v>
      </c>
      <c r="D133" s="279" t="s">
        <v>8</v>
      </c>
      <c r="E133" s="490">
        <f>'gw'!E331+'gw'!E336+samorządy!E37</f>
        <v>88040</v>
      </c>
      <c r="I133" s="5"/>
    </row>
    <row r="134" spans="1:10" ht="16.5" thickBot="1">
      <c r="A134" s="190">
        <v>757</v>
      </c>
      <c r="B134" s="194"/>
      <c r="C134" s="182"/>
      <c r="D134" s="277" t="s">
        <v>49</v>
      </c>
      <c r="E134" s="229">
        <f>E135</f>
        <v>43000000</v>
      </c>
      <c r="F134" s="224">
        <f>'gw'!E137</f>
        <v>43000000</v>
      </c>
      <c r="H134" s="5"/>
      <c r="I134" s="5"/>
      <c r="J134" s="5"/>
    </row>
    <row r="135" spans="1:9" ht="25.5" outlineLevel="1">
      <c r="A135" s="220"/>
      <c r="B135" s="217">
        <v>75702</v>
      </c>
      <c r="C135" s="213"/>
      <c r="D135" s="278" t="s">
        <v>50</v>
      </c>
      <c r="E135" s="232">
        <f>SUM(E136:E138)</f>
        <v>43000000</v>
      </c>
      <c r="I135" s="5"/>
    </row>
    <row r="136" spans="1:9" s="6" customFormat="1" ht="12.75" outlineLevel="2">
      <c r="A136" s="202"/>
      <c r="B136" s="200"/>
      <c r="C136" s="183">
        <v>4300</v>
      </c>
      <c r="D136" s="279" t="s">
        <v>8</v>
      </c>
      <c r="E136" s="490">
        <f>'gw'!E139</f>
        <v>600000</v>
      </c>
      <c r="I136" s="5"/>
    </row>
    <row r="137" spans="1:9" s="6" customFormat="1" ht="12.75" outlineLevel="2">
      <c r="A137" s="202"/>
      <c r="B137" s="200"/>
      <c r="C137" s="183">
        <v>4520</v>
      </c>
      <c r="D137" s="279" t="s">
        <v>240</v>
      </c>
      <c r="E137" s="490">
        <f>'gw'!E140</f>
        <v>220000</v>
      </c>
      <c r="I137" s="5"/>
    </row>
    <row r="138" spans="1:9" s="6" customFormat="1" ht="23.25" outlineLevel="2" thickBot="1">
      <c r="A138" s="202"/>
      <c r="B138" s="200"/>
      <c r="C138" s="183">
        <v>8070</v>
      </c>
      <c r="D138" s="279" t="s">
        <v>51</v>
      </c>
      <c r="E138" s="490">
        <f>'gw'!E141</f>
        <v>42180000</v>
      </c>
      <c r="I138" s="5"/>
    </row>
    <row r="139" spans="1:10" ht="16.5" thickBot="1">
      <c r="A139" s="190">
        <v>758</v>
      </c>
      <c r="B139" s="194"/>
      <c r="C139" s="182"/>
      <c r="D139" s="277" t="s">
        <v>52</v>
      </c>
      <c r="E139" s="229">
        <f>E140+E142+E148</f>
        <v>14769609</v>
      </c>
      <c r="F139" s="224">
        <f>'gw'!E251+'gw'!E6+'gw'!E142</f>
        <v>14769609</v>
      </c>
      <c r="H139" s="5"/>
      <c r="I139" s="5"/>
      <c r="J139" s="5"/>
    </row>
    <row r="140" spans="1:9" ht="12.75" outlineLevel="1">
      <c r="A140" s="220"/>
      <c r="B140" s="217">
        <v>75802</v>
      </c>
      <c r="C140" s="213"/>
      <c r="D140" s="278" t="s">
        <v>53</v>
      </c>
      <c r="E140" s="230">
        <f>E141</f>
        <v>3391671</v>
      </c>
      <c r="I140" s="5"/>
    </row>
    <row r="141" spans="1:9" s="6" customFormat="1" ht="22.5" outlineLevel="2">
      <c r="A141" s="202"/>
      <c r="B141" s="192"/>
      <c r="C141" s="183">
        <v>2930</v>
      </c>
      <c r="D141" s="279" t="s">
        <v>54</v>
      </c>
      <c r="E141" s="490">
        <f>'gw'!E144</f>
        <v>3391671</v>
      </c>
      <c r="I141" s="5"/>
    </row>
    <row r="142" spans="1:9" ht="13.5" customHeight="1" outlineLevel="1">
      <c r="A142" s="220"/>
      <c r="B142" s="216">
        <v>75814</v>
      </c>
      <c r="C142" s="213"/>
      <c r="D142" s="278" t="s">
        <v>55</v>
      </c>
      <c r="E142" s="230">
        <f>SUM(E143:E147)</f>
        <v>7276051</v>
      </c>
      <c r="I142" s="5"/>
    </row>
    <row r="143" spans="1:9" s="6" customFormat="1" ht="12.75" outlineLevel="2">
      <c r="A143" s="202"/>
      <c r="B143" s="200"/>
      <c r="C143" s="183">
        <v>4100</v>
      </c>
      <c r="D143" s="279" t="s">
        <v>4</v>
      </c>
      <c r="E143" s="490">
        <f>'gw'!E146</f>
        <v>20000</v>
      </c>
      <c r="I143" s="5"/>
    </row>
    <row r="144" spans="1:9" s="6" customFormat="1" ht="12.75" outlineLevel="2">
      <c r="A144" s="202"/>
      <c r="B144" s="200"/>
      <c r="C144" s="183">
        <v>4110</v>
      </c>
      <c r="D144" s="279" t="s">
        <v>25</v>
      </c>
      <c r="E144" s="490">
        <f>'gw'!E147</f>
        <v>3000</v>
      </c>
      <c r="I144" s="5"/>
    </row>
    <row r="145" spans="1:9" s="6" customFormat="1" ht="12.75" outlineLevel="2">
      <c r="A145" s="202"/>
      <c r="B145" s="200"/>
      <c r="C145" s="183">
        <v>4120</v>
      </c>
      <c r="D145" s="279" t="s">
        <v>26</v>
      </c>
      <c r="E145" s="490">
        <f>'gw'!E148</f>
        <v>1000</v>
      </c>
      <c r="I145" s="5"/>
    </row>
    <row r="146" spans="1:9" s="6" customFormat="1" ht="12.75" outlineLevel="2">
      <c r="A146" s="202"/>
      <c r="B146" s="200"/>
      <c r="C146" s="183">
        <v>4300</v>
      </c>
      <c r="D146" s="279" t="s">
        <v>8</v>
      </c>
      <c r="E146" s="490">
        <f>'gw'!E149+'gw'!E253</f>
        <v>6917051</v>
      </c>
      <c r="I146" s="5"/>
    </row>
    <row r="147" spans="1:9" s="6" customFormat="1" ht="12.75" outlineLevel="2">
      <c r="A147" s="202"/>
      <c r="B147" s="200"/>
      <c r="C147" s="183">
        <v>4430</v>
      </c>
      <c r="D147" s="279" t="s">
        <v>9</v>
      </c>
      <c r="E147" s="490">
        <f>'gw'!E150</f>
        <v>335000</v>
      </c>
      <c r="I147" s="5"/>
    </row>
    <row r="148" spans="1:9" ht="12.75" outlineLevel="1">
      <c r="A148" s="220"/>
      <c r="B148" s="216">
        <v>75818</v>
      </c>
      <c r="C148" s="213"/>
      <c r="D148" s="278" t="s">
        <v>56</v>
      </c>
      <c r="E148" s="230">
        <f>SUM(E149:E149)</f>
        <v>4101887</v>
      </c>
      <c r="I148" s="5"/>
    </row>
    <row r="149" spans="1:9" s="6" customFormat="1" ht="13.5" outlineLevel="2" thickBot="1">
      <c r="A149" s="203"/>
      <c r="B149" s="209"/>
      <c r="C149" s="184">
        <v>4810</v>
      </c>
      <c r="D149" s="282" t="s">
        <v>57</v>
      </c>
      <c r="E149" s="492">
        <f>'gw'!E8</f>
        <v>4101887</v>
      </c>
      <c r="I149" s="5"/>
    </row>
    <row r="150" spans="1:10" ht="16.5" thickBot="1">
      <c r="A150" s="190">
        <v>801</v>
      </c>
      <c r="B150" s="194"/>
      <c r="C150" s="182"/>
      <c r="D150" s="277" t="s">
        <v>59</v>
      </c>
      <c r="E150" s="229">
        <f>E151+E158+E160+E165+E167+E169</f>
        <v>11963791.04</v>
      </c>
      <c r="F150" s="224">
        <f>'gw'!E9+'gw'!E190+samorządy!E38+inwestycje!E54+inwestycje!E34</f>
        <v>11963791.04</v>
      </c>
      <c r="G150" s="5"/>
      <c r="H150" s="5"/>
      <c r="I150" s="5"/>
      <c r="J150" s="5"/>
    </row>
    <row r="151" spans="1:9" ht="12.75" outlineLevel="1">
      <c r="A151" s="236"/>
      <c r="B151" s="237">
        <v>80101</v>
      </c>
      <c r="C151" s="227"/>
      <c r="D151" s="283" t="s">
        <v>60</v>
      </c>
      <c r="E151" s="234">
        <f>SUM(E152:E157)</f>
        <v>3867556</v>
      </c>
      <c r="I151" s="5"/>
    </row>
    <row r="152" spans="1:9" s="6" customFormat="1" ht="22.5" outlineLevel="2">
      <c r="A152" s="202"/>
      <c r="B152" s="200"/>
      <c r="C152" s="183">
        <v>2540</v>
      </c>
      <c r="D152" s="279" t="s">
        <v>61</v>
      </c>
      <c r="E152" s="490">
        <f>'gw'!E192</f>
        <v>2768878</v>
      </c>
      <c r="I152" s="5"/>
    </row>
    <row r="153" spans="1:9" s="6" customFormat="1" ht="12.75" outlineLevel="2">
      <c r="A153" s="202"/>
      <c r="B153" s="200"/>
      <c r="C153" s="183">
        <v>4210</v>
      </c>
      <c r="D153" s="279" t="s">
        <v>7</v>
      </c>
      <c r="E153" s="490">
        <f>samorządy!E40</f>
        <v>21516</v>
      </c>
      <c r="I153" s="5"/>
    </row>
    <row r="154" spans="1:9" s="6" customFormat="1" ht="12.75" outlineLevel="2">
      <c r="A154" s="202"/>
      <c r="B154" s="200"/>
      <c r="C154" s="183">
        <v>4300</v>
      </c>
      <c r="D154" s="279" t="s">
        <v>8</v>
      </c>
      <c r="E154" s="490">
        <f>samorządy!E41</f>
        <v>16402</v>
      </c>
      <c r="I154" s="5"/>
    </row>
    <row r="155" spans="1:9" s="6" customFormat="1" ht="12.75" outlineLevel="2">
      <c r="A155" s="202"/>
      <c r="B155" s="200"/>
      <c r="C155" s="183">
        <v>4810</v>
      </c>
      <c r="D155" s="279" t="s">
        <v>57</v>
      </c>
      <c r="E155" s="490">
        <f>'gw'!E11</f>
        <v>15700</v>
      </c>
      <c r="I155" s="5"/>
    </row>
    <row r="156" spans="1:9" s="6" customFormat="1" ht="12.75" outlineLevel="2">
      <c r="A156" s="202"/>
      <c r="B156" s="200"/>
      <c r="C156" s="183">
        <v>6050</v>
      </c>
      <c r="D156" s="279" t="s">
        <v>35</v>
      </c>
      <c r="E156" s="490">
        <f>inwestycje!E57</f>
        <v>995060</v>
      </c>
      <c r="I156" s="5"/>
    </row>
    <row r="157" spans="1:9" s="6" customFormat="1" ht="33.75" outlineLevel="2">
      <c r="A157" s="202"/>
      <c r="B157" s="200"/>
      <c r="C157" s="183">
        <v>6230</v>
      </c>
      <c r="D157" s="279" t="s">
        <v>257</v>
      </c>
      <c r="E157" s="490">
        <f>inwestycje!E35</f>
        <v>50000</v>
      </c>
      <c r="I157" s="5"/>
    </row>
    <row r="158" spans="1:9" ht="12.75" outlineLevel="1">
      <c r="A158" s="220"/>
      <c r="B158" s="216">
        <v>80104</v>
      </c>
      <c r="C158" s="213"/>
      <c r="D158" s="278" t="s">
        <v>218</v>
      </c>
      <c r="E158" s="232">
        <f>E159</f>
        <v>186356</v>
      </c>
      <c r="I158" s="5"/>
    </row>
    <row r="159" spans="1:9" s="6" customFormat="1" ht="22.5" outlineLevel="2">
      <c r="A159" s="202"/>
      <c r="B159" s="200"/>
      <c r="C159" s="183">
        <v>2540</v>
      </c>
      <c r="D159" s="279" t="s">
        <v>61</v>
      </c>
      <c r="E159" s="490">
        <f>'gw'!E194</f>
        <v>186356</v>
      </c>
      <c r="I159" s="5"/>
    </row>
    <row r="160" spans="1:9" ht="12.75" outlineLevel="1">
      <c r="A160" s="220"/>
      <c r="B160" s="216">
        <v>80110</v>
      </c>
      <c r="C160" s="213"/>
      <c r="D160" s="278" t="s">
        <v>63</v>
      </c>
      <c r="E160" s="232">
        <f>SUM(E161:E164)</f>
        <v>5206988</v>
      </c>
      <c r="I160" s="5"/>
    </row>
    <row r="161" spans="1:9" s="6" customFormat="1" ht="22.5" outlineLevel="2">
      <c r="A161" s="202"/>
      <c r="B161" s="200"/>
      <c r="C161" s="183">
        <v>2540</v>
      </c>
      <c r="D161" s="279" t="s">
        <v>61</v>
      </c>
      <c r="E161" s="490">
        <f>'gw'!E196</f>
        <v>1777186</v>
      </c>
      <c r="I161" s="5"/>
    </row>
    <row r="162" spans="1:9" s="6" customFormat="1" ht="12.75" outlineLevel="2">
      <c r="A162" s="202"/>
      <c r="B162" s="200"/>
      <c r="C162" s="183">
        <v>4210</v>
      </c>
      <c r="D162" s="279" t="s">
        <v>7</v>
      </c>
      <c r="E162" s="490">
        <f>samorządy!E43</f>
        <v>6000</v>
      </c>
      <c r="I162" s="5"/>
    </row>
    <row r="163" spans="1:9" s="6" customFormat="1" ht="12.75" outlineLevel="2">
      <c r="A163" s="202"/>
      <c r="B163" s="200"/>
      <c r="C163" s="183">
        <v>4300</v>
      </c>
      <c r="D163" s="279" t="s">
        <v>8</v>
      </c>
      <c r="E163" s="490">
        <f>samorządy!E44</f>
        <v>1802</v>
      </c>
      <c r="I163" s="5"/>
    </row>
    <row r="164" spans="1:9" s="6" customFormat="1" ht="12.75" outlineLevel="2">
      <c r="A164" s="202"/>
      <c r="B164" s="200"/>
      <c r="C164" s="183">
        <v>6050</v>
      </c>
      <c r="D164" s="279" t="s">
        <v>35</v>
      </c>
      <c r="E164" s="490">
        <f>inwestycje!E60</f>
        <v>3422000</v>
      </c>
      <c r="I164" s="5"/>
    </row>
    <row r="165" spans="1:9" ht="12.75" outlineLevel="1">
      <c r="A165" s="220"/>
      <c r="B165" s="216">
        <v>80113</v>
      </c>
      <c r="C165" s="213"/>
      <c r="D165" s="278" t="s">
        <v>65</v>
      </c>
      <c r="E165" s="230">
        <f>E166</f>
        <v>46122</v>
      </c>
      <c r="I165" s="5"/>
    </row>
    <row r="166" spans="1:9" s="6" customFormat="1" ht="12.75" outlineLevel="2">
      <c r="A166" s="202"/>
      <c r="B166" s="192"/>
      <c r="C166" s="183">
        <v>4300</v>
      </c>
      <c r="D166" s="279" t="s">
        <v>8</v>
      </c>
      <c r="E166" s="490">
        <f>'gw'!E198</f>
        <v>46122</v>
      </c>
      <c r="I166" s="5"/>
    </row>
    <row r="167" spans="1:9" ht="12.75" outlineLevel="1">
      <c r="A167" s="220"/>
      <c r="B167" s="216">
        <v>80146</v>
      </c>
      <c r="C167" s="213"/>
      <c r="D167" s="278" t="s">
        <v>248</v>
      </c>
      <c r="E167" s="230">
        <f>E168</f>
        <v>3741</v>
      </c>
      <c r="I167" s="5"/>
    </row>
    <row r="168" spans="1:9" s="6" customFormat="1" ht="12.75" outlineLevel="2">
      <c r="A168" s="202"/>
      <c r="B168" s="192"/>
      <c r="C168" s="183">
        <v>4300</v>
      </c>
      <c r="D168" s="279" t="s">
        <v>8</v>
      </c>
      <c r="E168" s="490">
        <f>'gw'!E200</f>
        <v>3741</v>
      </c>
      <c r="I168" s="5"/>
    </row>
    <row r="169" spans="1:9" ht="12.75" outlineLevel="1">
      <c r="A169" s="220"/>
      <c r="B169" s="216">
        <v>80195</v>
      </c>
      <c r="C169" s="213"/>
      <c r="D169" s="278" t="s">
        <v>5</v>
      </c>
      <c r="E169" s="230">
        <f>SUM(E170:E178)</f>
        <v>2653028.04</v>
      </c>
      <c r="G169" s="5"/>
      <c r="I169" s="5"/>
    </row>
    <row r="170" spans="1:9" s="6" customFormat="1" ht="22.5" outlineLevel="2">
      <c r="A170" s="202"/>
      <c r="B170" s="200"/>
      <c r="C170" s="183">
        <v>2580</v>
      </c>
      <c r="D170" s="279" t="s">
        <v>70</v>
      </c>
      <c r="E170" s="490">
        <v>175000</v>
      </c>
      <c r="I170" s="5"/>
    </row>
    <row r="171" spans="1:9" s="6" customFormat="1" ht="12.75" outlineLevel="2">
      <c r="A171" s="202"/>
      <c r="B171" s="200"/>
      <c r="C171" s="183">
        <v>3020</v>
      </c>
      <c r="D171" s="279" t="s">
        <v>6</v>
      </c>
      <c r="E171" s="490">
        <v>95000</v>
      </c>
      <c r="I171" s="5"/>
    </row>
    <row r="172" spans="1:9" s="6" customFormat="1" ht="12.75" outlineLevel="2">
      <c r="A172" s="202"/>
      <c r="B172" s="200"/>
      <c r="C172" s="183">
        <v>4110</v>
      </c>
      <c r="D172" s="279" t="s">
        <v>25</v>
      </c>
      <c r="E172" s="490">
        <f>32.75+30396</f>
        <v>30428.75</v>
      </c>
      <c r="I172" s="5"/>
    </row>
    <row r="173" spans="1:9" s="6" customFormat="1" ht="12.75" outlineLevel="2">
      <c r="A173" s="202"/>
      <c r="B173" s="200"/>
      <c r="C173" s="183">
        <v>4120</v>
      </c>
      <c r="D173" s="279" t="s">
        <v>26</v>
      </c>
      <c r="E173" s="490">
        <f>4.29+4165</f>
        <v>4169.29</v>
      </c>
      <c r="I173" s="5"/>
    </row>
    <row r="174" spans="1:9" s="6" customFormat="1" ht="12.75" outlineLevel="2">
      <c r="A174" s="202"/>
      <c r="B174" s="200"/>
      <c r="C174" s="183">
        <v>4210</v>
      </c>
      <c r="D174" s="279" t="s">
        <v>7</v>
      </c>
      <c r="E174" s="490">
        <f>160584+samorządy!E46</f>
        <v>162284</v>
      </c>
      <c r="I174" s="5"/>
    </row>
    <row r="175" spans="1:9" s="6" customFormat="1" ht="12.75" outlineLevel="2">
      <c r="A175" s="202"/>
      <c r="B175" s="200"/>
      <c r="C175" s="183">
        <v>4300</v>
      </c>
      <c r="D175" s="279" t="s">
        <v>8</v>
      </c>
      <c r="E175" s="490">
        <v>477261</v>
      </c>
      <c r="I175" s="5"/>
    </row>
    <row r="176" spans="1:9" s="6" customFormat="1" ht="12.75" outlineLevel="2">
      <c r="A176" s="202"/>
      <c r="B176" s="200"/>
      <c r="C176" s="183">
        <v>4410</v>
      </c>
      <c r="D176" s="279" t="s">
        <v>28</v>
      </c>
      <c r="E176" s="490">
        <v>438</v>
      </c>
      <c r="I176" s="5"/>
    </row>
    <row r="177" spans="1:9" s="6" customFormat="1" ht="12.75" outlineLevel="2">
      <c r="A177" s="202"/>
      <c r="B177" s="200"/>
      <c r="C177" s="183">
        <v>4430</v>
      </c>
      <c r="D177" s="279" t="s">
        <v>9</v>
      </c>
      <c r="E177" s="490">
        <v>225469</v>
      </c>
      <c r="I177" s="5"/>
    </row>
    <row r="178" spans="1:9" s="6" customFormat="1" ht="13.5" outlineLevel="2" thickBot="1">
      <c r="A178" s="202"/>
      <c r="B178" s="200"/>
      <c r="C178" s="183">
        <v>4440</v>
      </c>
      <c r="D178" s="279" t="s">
        <v>29</v>
      </c>
      <c r="E178" s="490">
        <f>1151188+331790</f>
        <v>1482978</v>
      </c>
      <c r="I178" s="5"/>
    </row>
    <row r="179" spans="1:10" ht="16.5" thickBot="1">
      <c r="A179" s="190">
        <v>803</v>
      </c>
      <c r="B179" s="194"/>
      <c r="C179" s="182"/>
      <c r="D179" s="277" t="s">
        <v>268</v>
      </c>
      <c r="E179" s="229">
        <f>E180</f>
        <v>150000</v>
      </c>
      <c r="F179" s="224">
        <f>inwestycje!E102</f>
        <v>150000</v>
      </c>
      <c r="H179" s="5"/>
      <c r="I179" s="5"/>
      <c r="J179" s="5"/>
    </row>
    <row r="180" spans="1:9" ht="12.75" outlineLevel="1">
      <c r="A180" s="236"/>
      <c r="B180" s="237">
        <v>80395</v>
      </c>
      <c r="C180" s="227"/>
      <c r="D180" s="283" t="s">
        <v>5</v>
      </c>
      <c r="E180" s="234">
        <f>E181</f>
        <v>150000</v>
      </c>
      <c r="I180" s="5"/>
    </row>
    <row r="181" spans="1:9" s="6" customFormat="1" ht="34.5" outlineLevel="2" thickBot="1">
      <c r="A181" s="202"/>
      <c r="B181" s="200"/>
      <c r="C181" s="183">
        <v>6220</v>
      </c>
      <c r="D181" s="279" t="s">
        <v>126</v>
      </c>
      <c r="E181" s="490">
        <v>150000</v>
      </c>
      <c r="I181" s="5"/>
    </row>
    <row r="182" spans="1:10" ht="16.5" thickBot="1">
      <c r="A182" s="190">
        <v>851</v>
      </c>
      <c r="B182" s="194"/>
      <c r="C182" s="182"/>
      <c r="D182" s="277" t="s">
        <v>71</v>
      </c>
      <c r="E182" s="229">
        <f>E183+E186+E189+E205+E207</f>
        <v>12119541</v>
      </c>
      <c r="F182" s="224">
        <f>'gw'!E379+'gw'!E84+samorządy!E47+inwestycje!E104</f>
        <v>12119541</v>
      </c>
      <c r="H182" s="5"/>
      <c r="I182" s="5"/>
      <c r="J182" s="5"/>
    </row>
    <row r="183" spans="1:9" ht="12.75" outlineLevel="1">
      <c r="A183" s="236"/>
      <c r="B183" s="237">
        <v>85111</v>
      </c>
      <c r="C183" s="227"/>
      <c r="D183" s="283" t="s">
        <v>72</v>
      </c>
      <c r="E183" s="234">
        <f>SUM(E184:E185)</f>
        <v>3691616</v>
      </c>
      <c r="I183" s="5"/>
    </row>
    <row r="184" spans="1:9" s="6" customFormat="1" ht="22.5" outlineLevel="2">
      <c r="A184" s="202"/>
      <c r="B184" s="200"/>
      <c r="C184" s="183">
        <v>2560</v>
      </c>
      <c r="D184" s="279" t="s">
        <v>75</v>
      </c>
      <c r="E184" s="490">
        <v>86536</v>
      </c>
      <c r="I184" s="5"/>
    </row>
    <row r="185" spans="1:9" s="6" customFormat="1" ht="33.75" outlineLevel="2">
      <c r="A185" s="202"/>
      <c r="B185" s="200"/>
      <c r="C185" s="183">
        <v>6220</v>
      </c>
      <c r="D185" s="279" t="s">
        <v>126</v>
      </c>
      <c r="E185" s="490">
        <f>inwestycje!E106</f>
        <v>3605080</v>
      </c>
      <c r="I185" s="5"/>
    </row>
    <row r="186" spans="1:9" ht="12.75" outlineLevel="1">
      <c r="A186" s="220"/>
      <c r="B186" s="216">
        <v>85121</v>
      </c>
      <c r="C186" s="213"/>
      <c r="D186" s="278" t="s">
        <v>266</v>
      </c>
      <c r="E186" s="230">
        <f>E187+E188</f>
        <v>52645</v>
      </c>
      <c r="I186" s="5"/>
    </row>
    <row r="187" spans="1:9" s="6" customFormat="1" ht="22.5" outlineLevel="2">
      <c r="A187" s="202"/>
      <c r="B187" s="200"/>
      <c r="C187" s="183">
        <v>2560</v>
      </c>
      <c r="D187" s="279" t="s">
        <v>75</v>
      </c>
      <c r="E187" s="490">
        <v>21634</v>
      </c>
      <c r="I187" s="5"/>
    </row>
    <row r="188" spans="1:9" s="6" customFormat="1" ht="33.75" outlineLevel="2">
      <c r="A188" s="202"/>
      <c r="B188" s="200"/>
      <c r="C188" s="183">
        <v>6220</v>
      </c>
      <c r="D188" s="279" t="s">
        <v>126</v>
      </c>
      <c r="E188" s="490">
        <v>31011</v>
      </c>
      <c r="I188" s="5"/>
    </row>
    <row r="189" spans="1:9" ht="12.75" outlineLevel="1">
      <c r="A189" s="220"/>
      <c r="B189" s="216">
        <v>85154</v>
      </c>
      <c r="C189" s="213"/>
      <c r="D189" s="278" t="s">
        <v>74</v>
      </c>
      <c r="E189" s="230">
        <f>SUM(E190:E204)</f>
        <v>6695297</v>
      </c>
      <c r="I189" s="5"/>
    </row>
    <row r="190" spans="1:9" s="6" customFormat="1" ht="22.5" outlineLevel="2">
      <c r="A190" s="202"/>
      <c r="B190" s="200"/>
      <c r="C190" s="183">
        <v>2560</v>
      </c>
      <c r="D190" s="279" t="s">
        <v>75</v>
      </c>
      <c r="E190" s="490">
        <f>'gw'!E90</f>
        <v>554119</v>
      </c>
      <c r="I190" s="5"/>
    </row>
    <row r="191" spans="1:9" s="6" customFormat="1" ht="22.5" outlineLevel="2">
      <c r="A191" s="202"/>
      <c r="B191" s="200"/>
      <c r="C191" s="183">
        <v>2810</v>
      </c>
      <c r="D191" s="279" t="s">
        <v>76</v>
      </c>
      <c r="E191" s="490">
        <f>'gw'!E91</f>
        <v>300000</v>
      </c>
      <c r="I191" s="5"/>
    </row>
    <row r="192" spans="1:9" s="6" customFormat="1" ht="23.25" outlineLevel="2" thickBot="1">
      <c r="A192" s="203"/>
      <c r="B192" s="209"/>
      <c r="C192" s="184">
        <v>2820</v>
      </c>
      <c r="D192" s="282" t="s">
        <v>38</v>
      </c>
      <c r="E192" s="492">
        <f>'gw'!E92</f>
        <v>1950000</v>
      </c>
      <c r="I192" s="5"/>
    </row>
    <row r="193" spans="1:9" s="6" customFormat="1" ht="33.75" outlineLevel="2">
      <c r="A193" s="206"/>
      <c r="B193" s="207"/>
      <c r="C193" s="208">
        <v>2830</v>
      </c>
      <c r="D193" s="296" t="s">
        <v>77</v>
      </c>
      <c r="E193" s="498">
        <f>'gw'!E93</f>
        <v>700000</v>
      </c>
      <c r="I193" s="5"/>
    </row>
    <row r="194" spans="1:9" s="6" customFormat="1" ht="12.75" outlineLevel="2">
      <c r="A194" s="202"/>
      <c r="B194" s="200"/>
      <c r="C194" s="183">
        <v>3030</v>
      </c>
      <c r="D194" s="279" t="s">
        <v>17</v>
      </c>
      <c r="E194" s="490">
        <f>'gw'!E94</f>
        <v>307190</v>
      </c>
      <c r="I194" s="5"/>
    </row>
    <row r="195" spans="1:9" s="6" customFormat="1" ht="12.75" outlineLevel="2">
      <c r="A195" s="202"/>
      <c r="B195" s="200"/>
      <c r="C195" s="183">
        <v>4110</v>
      </c>
      <c r="D195" s="279" t="s">
        <v>25</v>
      </c>
      <c r="E195" s="490">
        <v>64500</v>
      </c>
      <c r="I195" s="5"/>
    </row>
    <row r="196" spans="1:9" s="6" customFormat="1" ht="12.75" outlineLevel="2">
      <c r="A196" s="202"/>
      <c r="B196" s="200"/>
      <c r="C196" s="183">
        <v>4120</v>
      </c>
      <c r="D196" s="279" t="s">
        <v>26</v>
      </c>
      <c r="E196" s="490">
        <v>8820</v>
      </c>
      <c r="I196" s="5"/>
    </row>
    <row r="197" spans="1:9" s="6" customFormat="1" ht="12.75" outlineLevel="2">
      <c r="A197" s="202"/>
      <c r="B197" s="200"/>
      <c r="C197" s="183">
        <v>4210</v>
      </c>
      <c r="D197" s="279" t="s">
        <v>7</v>
      </c>
      <c r="E197" s="490">
        <v>185817</v>
      </c>
      <c r="I197" s="5"/>
    </row>
    <row r="198" spans="1:9" s="6" customFormat="1" ht="12.75" outlineLevel="2">
      <c r="A198" s="202"/>
      <c r="B198" s="200"/>
      <c r="C198" s="183">
        <v>4220</v>
      </c>
      <c r="D198" s="279" t="s">
        <v>267</v>
      </c>
      <c r="E198" s="490">
        <v>52340</v>
      </c>
      <c r="I198" s="5"/>
    </row>
    <row r="199" spans="1:9" s="6" customFormat="1" ht="12.75" outlineLevel="2">
      <c r="A199" s="202"/>
      <c r="B199" s="200"/>
      <c r="C199" s="183">
        <v>4240</v>
      </c>
      <c r="D199" s="279" t="s">
        <v>39</v>
      </c>
      <c r="E199" s="490">
        <v>72666</v>
      </c>
      <c r="I199" s="5"/>
    </row>
    <row r="200" spans="1:9" s="6" customFormat="1" ht="12.75" outlineLevel="2">
      <c r="A200" s="202"/>
      <c r="B200" s="200"/>
      <c r="C200" s="183">
        <v>4270</v>
      </c>
      <c r="D200" s="279" t="s">
        <v>2</v>
      </c>
      <c r="E200" s="490">
        <v>84600</v>
      </c>
      <c r="I200" s="5"/>
    </row>
    <row r="201" spans="1:9" s="6" customFormat="1" ht="12.75" outlineLevel="2">
      <c r="A201" s="202"/>
      <c r="B201" s="200"/>
      <c r="C201" s="183">
        <v>4280</v>
      </c>
      <c r="D201" s="279" t="s">
        <v>78</v>
      </c>
      <c r="E201" s="490">
        <f>'gw'!E101</f>
        <v>380000</v>
      </c>
      <c r="I201" s="5"/>
    </row>
    <row r="202" spans="1:9" s="6" customFormat="1" ht="12.75" outlineLevel="2">
      <c r="A202" s="202"/>
      <c r="B202" s="200"/>
      <c r="C202" s="183">
        <v>4300</v>
      </c>
      <c r="D202" s="279" t="s">
        <v>8</v>
      </c>
      <c r="E202" s="490">
        <f>'gw'!E102</f>
        <v>1735935</v>
      </c>
      <c r="I202" s="5"/>
    </row>
    <row r="203" spans="1:9" s="6" customFormat="1" ht="12.75" outlineLevel="2">
      <c r="A203" s="202"/>
      <c r="B203" s="200"/>
      <c r="C203" s="183">
        <v>4610</v>
      </c>
      <c r="D203" s="279" t="s">
        <v>237</v>
      </c>
      <c r="E203" s="490">
        <f>'gw'!E103</f>
        <v>2810</v>
      </c>
      <c r="I203" s="5"/>
    </row>
    <row r="204" spans="1:9" s="6" customFormat="1" ht="33.75" outlineLevel="2">
      <c r="A204" s="202"/>
      <c r="B204" s="200"/>
      <c r="C204" s="183">
        <v>6220</v>
      </c>
      <c r="D204" s="279" t="s">
        <v>126</v>
      </c>
      <c r="E204" s="490">
        <f>inwestycje!E110</f>
        <v>296500</v>
      </c>
      <c r="I204" s="5"/>
    </row>
    <row r="205" spans="1:9" ht="12.75" outlineLevel="1">
      <c r="A205" s="220"/>
      <c r="B205" s="216">
        <v>85158</v>
      </c>
      <c r="C205" s="213"/>
      <c r="D205" s="278" t="s">
        <v>127</v>
      </c>
      <c r="E205" s="230">
        <f>SUM(E206)</f>
        <v>513783</v>
      </c>
      <c r="I205" s="5"/>
    </row>
    <row r="206" spans="1:9" s="6" customFormat="1" ht="22.5" outlineLevel="2">
      <c r="A206" s="202"/>
      <c r="B206" s="200"/>
      <c r="C206" s="183">
        <v>2610</v>
      </c>
      <c r="D206" s="279" t="s">
        <v>195</v>
      </c>
      <c r="E206" s="490">
        <f>'gw'!E105</f>
        <v>513783</v>
      </c>
      <c r="I206" s="5"/>
    </row>
    <row r="207" spans="1:9" ht="12.75" outlineLevel="1">
      <c r="A207" s="220"/>
      <c r="B207" s="216">
        <v>85195</v>
      </c>
      <c r="C207" s="213"/>
      <c r="D207" s="278" t="s">
        <v>5</v>
      </c>
      <c r="E207" s="230">
        <f>SUM(E208:E215)</f>
        <v>1166200</v>
      </c>
      <c r="I207" s="5"/>
    </row>
    <row r="208" spans="1:9" s="6" customFormat="1" ht="22.5" outlineLevel="2">
      <c r="A208" s="202"/>
      <c r="B208" s="200"/>
      <c r="C208" s="183">
        <v>2560</v>
      </c>
      <c r="D208" s="279" t="s">
        <v>75</v>
      </c>
      <c r="E208" s="490">
        <f>'gw'!E107</f>
        <v>200000</v>
      </c>
      <c r="I208" s="5"/>
    </row>
    <row r="209" spans="1:9" s="6" customFormat="1" ht="22.5" outlineLevel="2">
      <c r="A209" s="202"/>
      <c r="B209" s="200"/>
      <c r="C209" s="183">
        <v>2580</v>
      </c>
      <c r="D209" s="279" t="s">
        <v>70</v>
      </c>
      <c r="E209" s="490">
        <f>'gw'!E108</f>
        <v>514000</v>
      </c>
      <c r="I209" s="5"/>
    </row>
    <row r="210" spans="1:9" s="6" customFormat="1" ht="12.75" outlineLevel="2">
      <c r="A210" s="202"/>
      <c r="B210" s="200"/>
      <c r="C210" s="183">
        <v>3020</v>
      </c>
      <c r="D210" s="279" t="s">
        <v>6</v>
      </c>
      <c r="E210" s="490">
        <v>20000</v>
      </c>
      <c r="I210" s="5"/>
    </row>
    <row r="211" spans="1:9" s="6" customFormat="1" ht="12.75" outlineLevel="2">
      <c r="A211" s="202"/>
      <c r="B211" s="200"/>
      <c r="C211" s="183">
        <v>4280</v>
      </c>
      <c r="D211" s="279" t="s">
        <v>78</v>
      </c>
      <c r="E211" s="490">
        <f>'gw'!E109</f>
        <v>85000</v>
      </c>
      <c r="I211" s="5"/>
    </row>
    <row r="212" spans="1:9" s="6" customFormat="1" ht="12.75" outlineLevel="2">
      <c r="A212" s="202"/>
      <c r="B212" s="200"/>
      <c r="C212" s="183">
        <v>4300</v>
      </c>
      <c r="D212" s="279" t="s">
        <v>8</v>
      </c>
      <c r="E212" s="490">
        <f>'gw'!E110+'gw'!E382+samorządy!E49</f>
        <v>303500</v>
      </c>
      <c r="I212" s="5"/>
    </row>
    <row r="213" spans="1:9" s="6" customFormat="1" ht="12.75" outlineLevel="2">
      <c r="A213" s="202"/>
      <c r="B213" s="200"/>
      <c r="C213" s="183">
        <v>4430</v>
      </c>
      <c r="D213" s="279" t="s">
        <v>9</v>
      </c>
      <c r="E213" s="490">
        <f>'gw'!E111</f>
        <v>7500</v>
      </c>
      <c r="I213" s="5"/>
    </row>
    <row r="214" spans="1:9" s="6" customFormat="1" ht="12.75" outlineLevel="2">
      <c r="A214" s="202"/>
      <c r="B214" s="200"/>
      <c r="C214" s="183">
        <v>4540</v>
      </c>
      <c r="D214" s="279" t="s">
        <v>79</v>
      </c>
      <c r="E214" s="490">
        <f>'gw'!E112</f>
        <v>15500</v>
      </c>
      <c r="I214" s="5"/>
    </row>
    <row r="215" spans="1:9" s="6" customFormat="1" ht="34.5" outlineLevel="2" thickBot="1">
      <c r="A215" s="202"/>
      <c r="B215" s="200"/>
      <c r="C215" s="183">
        <v>6220</v>
      </c>
      <c r="D215" s="279" t="s">
        <v>126</v>
      </c>
      <c r="E215" s="490">
        <v>20700</v>
      </c>
      <c r="I215" s="5"/>
    </row>
    <row r="216" spans="1:10" ht="16.5" thickBot="1">
      <c r="A216" s="190">
        <v>853</v>
      </c>
      <c r="B216" s="194"/>
      <c r="C216" s="182"/>
      <c r="D216" s="277" t="s">
        <v>80</v>
      </c>
      <c r="E216" s="229">
        <f>E217</f>
        <v>3783669</v>
      </c>
      <c r="F216" s="224">
        <f>'gw'!E113+'gw'!E396+samorządy!E50</f>
        <v>3783669</v>
      </c>
      <c r="G216" s="5">
        <f>F216-E216</f>
        <v>0</v>
      </c>
      <c r="H216" s="5"/>
      <c r="I216" s="5"/>
      <c r="J216" s="5"/>
    </row>
    <row r="217" spans="1:9" ht="12.75" outlineLevel="1">
      <c r="A217" s="220"/>
      <c r="B217" s="216">
        <v>85395</v>
      </c>
      <c r="C217" s="213"/>
      <c r="D217" s="278" t="s">
        <v>5</v>
      </c>
      <c r="E217" s="230">
        <f>SUM(E218:E224)</f>
        <v>3783669</v>
      </c>
      <c r="I217" s="5"/>
    </row>
    <row r="218" spans="1:9" s="6" customFormat="1" ht="22.5" outlineLevel="2">
      <c r="A218" s="202"/>
      <c r="B218" s="200"/>
      <c r="C218" s="183">
        <v>2580</v>
      </c>
      <c r="D218" s="279" t="s">
        <v>70</v>
      </c>
      <c r="E218" s="490">
        <f>'gw'!E115</f>
        <v>3083568</v>
      </c>
      <c r="I218" s="5"/>
    </row>
    <row r="219" spans="1:9" s="6" customFormat="1" ht="22.5" outlineLevel="2">
      <c r="A219" s="202"/>
      <c r="B219" s="200"/>
      <c r="C219" s="183">
        <v>2630</v>
      </c>
      <c r="D219" s="279" t="s">
        <v>20</v>
      </c>
      <c r="E219" s="490">
        <f>'gw'!E116+samorządy!E52</f>
        <v>48000</v>
      </c>
      <c r="I219" s="5"/>
    </row>
    <row r="220" spans="1:9" s="6" customFormat="1" ht="22.5" outlineLevel="2">
      <c r="A220" s="202"/>
      <c r="B220" s="200"/>
      <c r="C220" s="183">
        <v>2810</v>
      </c>
      <c r="D220" s="279" t="s">
        <v>238</v>
      </c>
      <c r="E220" s="490">
        <f>'gw'!E117</f>
        <v>200000</v>
      </c>
      <c r="I220" s="5"/>
    </row>
    <row r="221" spans="1:9" s="6" customFormat="1" ht="22.5" outlineLevel="2">
      <c r="A221" s="202"/>
      <c r="B221" s="200"/>
      <c r="C221" s="183">
        <v>2820</v>
      </c>
      <c r="D221" s="279" t="s">
        <v>241</v>
      </c>
      <c r="E221" s="490">
        <f>'gw'!E118</f>
        <v>200000</v>
      </c>
      <c r="I221" s="5"/>
    </row>
    <row r="222" spans="1:9" s="6" customFormat="1" ht="12.75" outlineLevel="2">
      <c r="A222" s="202"/>
      <c r="B222" s="200"/>
      <c r="C222" s="183">
        <v>4210</v>
      </c>
      <c r="D222" s="279" t="s">
        <v>162</v>
      </c>
      <c r="E222" s="490">
        <f>samorządy!E53</f>
        <v>38954</v>
      </c>
      <c r="I222" s="5"/>
    </row>
    <row r="223" spans="1:9" s="6" customFormat="1" ht="12.75" outlineLevel="2">
      <c r="A223" s="202"/>
      <c r="B223" s="200"/>
      <c r="C223" s="183">
        <v>4270</v>
      </c>
      <c r="D223" s="279" t="s">
        <v>2</v>
      </c>
      <c r="E223" s="490">
        <v>28097</v>
      </c>
      <c r="I223" s="5"/>
    </row>
    <row r="224" spans="1:9" s="6" customFormat="1" ht="13.5" outlineLevel="2" thickBot="1">
      <c r="A224" s="202"/>
      <c r="B224" s="200"/>
      <c r="C224" s="183">
        <v>4300</v>
      </c>
      <c r="D224" s="279" t="s">
        <v>8</v>
      </c>
      <c r="E224" s="490">
        <f>'gw'!E119+samorządy!E54</f>
        <v>185050</v>
      </c>
      <c r="I224" s="5"/>
    </row>
    <row r="225" spans="1:10" ht="16.5" thickBot="1">
      <c r="A225" s="190">
        <v>854</v>
      </c>
      <c r="B225" s="194"/>
      <c r="C225" s="182"/>
      <c r="D225" s="277" t="s">
        <v>85</v>
      </c>
      <c r="E225" s="229">
        <f>E226+E230+E232+E238+E240+E245+E247</f>
        <v>77353898</v>
      </c>
      <c r="F225" s="224">
        <f>'gw'!E211+samorządy!E55+inwestycje!E61</f>
        <v>77353898</v>
      </c>
      <c r="G225" s="5"/>
      <c r="H225" s="5"/>
      <c r="I225" s="5"/>
      <c r="J225" s="5"/>
    </row>
    <row r="226" spans="1:9" ht="12.75" outlineLevel="1">
      <c r="A226" s="202"/>
      <c r="B226" s="217">
        <v>85401</v>
      </c>
      <c r="C226" s="213"/>
      <c r="D226" s="278" t="s">
        <v>86</v>
      </c>
      <c r="E226" s="232">
        <f>SUM(E227:E229)</f>
        <v>5000</v>
      </c>
      <c r="H226" s="5"/>
      <c r="I226" s="5"/>
    </row>
    <row r="227" spans="1:9" s="6" customFormat="1" ht="12.75" outlineLevel="2">
      <c r="A227" s="202"/>
      <c r="B227" s="200"/>
      <c r="C227" s="183">
        <v>4210</v>
      </c>
      <c r="D227" s="279" t="s">
        <v>7</v>
      </c>
      <c r="E227" s="490">
        <f>samorządy!E57</f>
        <v>3000</v>
      </c>
      <c r="I227" s="5"/>
    </row>
    <row r="228" spans="1:9" s="6" customFormat="1" ht="12.75" outlineLevel="2">
      <c r="A228" s="202"/>
      <c r="B228" s="200"/>
      <c r="C228" s="183">
        <v>4300</v>
      </c>
      <c r="D228" s="279" t="s">
        <v>8</v>
      </c>
      <c r="E228" s="490">
        <f>samorządy!E58</f>
        <v>1500</v>
      </c>
      <c r="I228" s="5"/>
    </row>
    <row r="229" spans="1:9" s="6" customFormat="1" ht="12.75" outlineLevel="2">
      <c r="A229" s="202"/>
      <c r="B229" s="200"/>
      <c r="C229" s="183">
        <v>4410</v>
      </c>
      <c r="D229" s="279" t="s">
        <v>28</v>
      </c>
      <c r="E229" s="490">
        <f>samorządy!E59</f>
        <v>500</v>
      </c>
      <c r="I229" s="5"/>
    </row>
    <row r="230" spans="1:9" ht="12.75" outlineLevel="1">
      <c r="A230" s="220"/>
      <c r="B230" s="216">
        <v>85402</v>
      </c>
      <c r="C230" s="213"/>
      <c r="D230" s="278" t="str">
        <f>samorządy!D60</f>
        <v>Ośrodki szkolno-wychowawcze</v>
      </c>
      <c r="E230" s="232">
        <f>E231</f>
        <v>2000</v>
      </c>
      <c r="H230" s="5"/>
      <c r="I230" s="5"/>
    </row>
    <row r="231" spans="1:9" s="6" customFormat="1" ht="12.75" outlineLevel="2">
      <c r="A231" s="202"/>
      <c r="B231" s="200"/>
      <c r="C231" s="183">
        <v>4300</v>
      </c>
      <c r="D231" s="279" t="s">
        <v>8</v>
      </c>
      <c r="E231" s="490">
        <f>samorządy!E61</f>
        <v>2000</v>
      </c>
      <c r="I231" s="5"/>
    </row>
    <row r="232" spans="1:9" ht="12.75" outlineLevel="1">
      <c r="A232" s="220"/>
      <c r="B232" s="216">
        <v>85404</v>
      </c>
      <c r="C232" s="213"/>
      <c r="D232" s="278" t="s">
        <v>219</v>
      </c>
      <c r="E232" s="232">
        <f>SUM(E233:E237)</f>
        <v>76532879</v>
      </c>
      <c r="H232" s="5"/>
      <c r="I232" s="5"/>
    </row>
    <row r="233" spans="1:9" s="6" customFormat="1" ht="22.5" outlineLevel="2">
      <c r="A233" s="202"/>
      <c r="B233" s="200"/>
      <c r="C233" s="183">
        <v>2540</v>
      </c>
      <c r="D233" s="279" t="s">
        <v>61</v>
      </c>
      <c r="E233" s="490">
        <f>'gw'!E213</f>
        <v>1779234</v>
      </c>
      <c r="I233" s="5"/>
    </row>
    <row r="234" spans="1:9" s="6" customFormat="1" ht="22.5" outlineLevel="2">
      <c r="A234" s="202"/>
      <c r="B234" s="200"/>
      <c r="C234" s="183">
        <v>2590</v>
      </c>
      <c r="D234" s="279" t="s">
        <v>220</v>
      </c>
      <c r="E234" s="490">
        <f>'gw'!E214</f>
        <v>73567045</v>
      </c>
      <c r="I234" s="5"/>
    </row>
    <row r="235" spans="1:9" s="6" customFormat="1" ht="12.75" outlineLevel="2">
      <c r="A235" s="202"/>
      <c r="B235" s="200"/>
      <c r="C235" s="183">
        <v>4210</v>
      </c>
      <c r="D235" s="279" t="s">
        <v>7</v>
      </c>
      <c r="E235" s="490">
        <f>samorządy!E63</f>
        <v>1000</v>
      </c>
      <c r="I235" s="5"/>
    </row>
    <row r="236" spans="1:9" s="6" customFormat="1" ht="13.5" outlineLevel="2" thickBot="1">
      <c r="A236" s="203"/>
      <c r="B236" s="209"/>
      <c r="C236" s="184">
        <v>6050</v>
      </c>
      <c r="D236" s="282" t="s">
        <v>35</v>
      </c>
      <c r="E236" s="492">
        <f>inwestycje!E64</f>
        <v>1098300</v>
      </c>
      <c r="I236" s="5"/>
    </row>
    <row r="237" spans="1:9" s="6" customFormat="1" ht="33.75" outlineLevel="2">
      <c r="A237" s="206"/>
      <c r="B237" s="207"/>
      <c r="C237" s="208">
        <v>6210</v>
      </c>
      <c r="D237" s="296" t="s">
        <v>88</v>
      </c>
      <c r="E237" s="498">
        <f>inwestycje!E65</f>
        <v>87300</v>
      </c>
      <c r="I237" s="5"/>
    </row>
    <row r="238" spans="1:9" ht="12.75" outlineLevel="1">
      <c r="A238" s="220"/>
      <c r="B238" s="216">
        <v>85405</v>
      </c>
      <c r="C238" s="213"/>
      <c r="D238" s="278" t="s">
        <v>89</v>
      </c>
      <c r="E238" s="232">
        <f>SUM(E239)</f>
        <v>441434</v>
      </c>
      <c r="H238" s="5"/>
      <c r="I238" s="5"/>
    </row>
    <row r="239" spans="1:9" s="6" customFormat="1" ht="22.5" outlineLevel="2">
      <c r="A239" s="202"/>
      <c r="B239" s="200"/>
      <c r="C239" s="183">
        <v>2540</v>
      </c>
      <c r="D239" s="279" t="s">
        <v>61</v>
      </c>
      <c r="E239" s="490">
        <f>'gw'!E216</f>
        <v>441434</v>
      </c>
      <c r="I239" s="5"/>
    </row>
    <row r="240" spans="1:9" ht="25.5" outlineLevel="1">
      <c r="A240" s="220"/>
      <c r="B240" s="216">
        <v>85412</v>
      </c>
      <c r="C240" s="213"/>
      <c r="D240" s="278" t="s">
        <v>92</v>
      </c>
      <c r="E240" s="232">
        <f>SUM(E241:E244)</f>
        <v>288619</v>
      </c>
      <c r="H240" s="5"/>
      <c r="I240" s="5"/>
    </row>
    <row r="241" spans="1:9" s="6" customFormat="1" ht="22.5" outlineLevel="2">
      <c r="A241" s="202"/>
      <c r="B241" s="200"/>
      <c r="C241" s="183">
        <v>2630</v>
      </c>
      <c r="D241" s="279" t="s">
        <v>20</v>
      </c>
      <c r="E241" s="494">
        <f>'gw'!E218+samorządy!E65</f>
        <v>114500</v>
      </c>
      <c r="I241" s="5"/>
    </row>
    <row r="242" spans="1:9" s="6" customFormat="1" ht="12.75" outlineLevel="2">
      <c r="A242" s="202"/>
      <c r="B242" s="200"/>
      <c r="C242" s="183">
        <v>4210</v>
      </c>
      <c r="D242" s="279" t="s">
        <v>7</v>
      </c>
      <c r="E242" s="490">
        <f>samorządy!E66</f>
        <v>48709</v>
      </c>
      <c r="I242" s="5"/>
    </row>
    <row r="243" spans="1:9" s="6" customFormat="1" ht="12.75" outlineLevel="2">
      <c r="A243" s="202"/>
      <c r="B243" s="200"/>
      <c r="C243" s="183">
        <v>4300</v>
      </c>
      <c r="D243" s="279" t="s">
        <v>8</v>
      </c>
      <c r="E243" s="490">
        <f>samorządy!E67+'gw'!E219</f>
        <v>124290</v>
      </c>
      <c r="I243" s="5"/>
    </row>
    <row r="244" spans="1:9" s="6" customFormat="1" ht="12.75" outlineLevel="2">
      <c r="A244" s="202"/>
      <c r="B244" s="200"/>
      <c r="C244" s="204">
        <v>4410</v>
      </c>
      <c r="D244" s="284" t="s">
        <v>28</v>
      </c>
      <c r="E244" s="490">
        <f>samorządy!E68</f>
        <v>1120</v>
      </c>
      <c r="I244" s="5"/>
    </row>
    <row r="245" spans="1:9" ht="25.5" outlineLevel="1">
      <c r="A245" s="220"/>
      <c r="B245" s="216">
        <v>85418</v>
      </c>
      <c r="C245" s="213"/>
      <c r="D245" s="278" t="s">
        <v>247</v>
      </c>
      <c r="E245" s="232">
        <f>E246</f>
        <v>3000</v>
      </c>
      <c r="H245" s="5"/>
      <c r="I245" s="5"/>
    </row>
    <row r="246" spans="1:9" s="6" customFormat="1" ht="12.75" outlineLevel="2">
      <c r="A246" s="202"/>
      <c r="B246" s="200"/>
      <c r="C246" s="183">
        <v>4300</v>
      </c>
      <c r="D246" s="279" t="s">
        <v>149</v>
      </c>
      <c r="E246" s="494">
        <f>samorządy!E70</f>
        <v>3000</v>
      </c>
      <c r="I246" s="5"/>
    </row>
    <row r="247" spans="1:9" ht="12.75" outlineLevel="1">
      <c r="A247" s="220"/>
      <c r="B247" s="216">
        <v>85495</v>
      </c>
      <c r="C247" s="213"/>
      <c r="D247" s="278" t="s">
        <v>5</v>
      </c>
      <c r="E247" s="232">
        <f>SUM(E248:E252)</f>
        <v>80966</v>
      </c>
      <c r="H247" s="5"/>
      <c r="I247" s="5"/>
    </row>
    <row r="248" spans="1:9" s="6" customFormat="1" ht="12.75" outlineLevel="2">
      <c r="A248" s="202"/>
      <c r="B248" s="200"/>
      <c r="C248" s="183">
        <v>4110</v>
      </c>
      <c r="D248" s="279" t="s">
        <v>153</v>
      </c>
      <c r="E248" s="494">
        <f>samorządy!E72</f>
        <v>110</v>
      </c>
      <c r="I248" s="5"/>
    </row>
    <row r="249" spans="1:9" s="6" customFormat="1" ht="12.75" outlineLevel="2">
      <c r="A249" s="202"/>
      <c r="B249" s="200"/>
      <c r="C249" s="183">
        <v>4210</v>
      </c>
      <c r="D249" s="279" t="s">
        <v>162</v>
      </c>
      <c r="E249" s="494">
        <f>samorządy!E73</f>
        <v>39298</v>
      </c>
      <c r="I249" s="5"/>
    </row>
    <row r="250" spans="1:9" s="6" customFormat="1" ht="12.75" outlineLevel="2">
      <c r="A250" s="202"/>
      <c r="B250" s="200"/>
      <c r="C250" s="183">
        <v>4240</v>
      </c>
      <c r="D250" s="279" t="s">
        <v>164</v>
      </c>
      <c r="E250" s="494">
        <f>samorządy!E74</f>
        <v>1500</v>
      </c>
      <c r="I250" s="5"/>
    </row>
    <row r="251" spans="1:9" s="6" customFormat="1" ht="12.75" outlineLevel="2">
      <c r="A251" s="202"/>
      <c r="B251" s="200"/>
      <c r="C251" s="183">
        <v>4300</v>
      </c>
      <c r="D251" s="279" t="s">
        <v>149</v>
      </c>
      <c r="E251" s="494">
        <f>samorządy!E75</f>
        <v>39998</v>
      </c>
      <c r="I251" s="5"/>
    </row>
    <row r="252" spans="1:9" s="6" customFormat="1" ht="13.5" outlineLevel="2" thickBot="1">
      <c r="A252" s="202"/>
      <c r="B252" s="200"/>
      <c r="C252" s="183">
        <v>4410</v>
      </c>
      <c r="D252" s="279" t="s">
        <v>28</v>
      </c>
      <c r="E252" s="494">
        <f>samorządy!E76</f>
        <v>60</v>
      </c>
      <c r="I252" s="5"/>
    </row>
    <row r="253" spans="1:10" ht="32.25" thickBot="1">
      <c r="A253" s="190">
        <v>900</v>
      </c>
      <c r="B253" s="194"/>
      <c r="C253" s="182"/>
      <c r="D253" s="277" t="s">
        <v>94</v>
      </c>
      <c r="E253" s="229">
        <f>E254+E261+E264+E272+E268+E276</f>
        <v>22283014</v>
      </c>
      <c r="F253" s="224">
        <f>'gw'!E432+'gw'!E419+'gw'!E410+'gw'!E383+'gw'!E361+'gw'!E254+'gw'!E151+samorządy!E77+inwestycje!E146+inwestycje!E134+inwestycje!E36</f>
        <v>22283014</v>
      </c>
      <c r="G253" s="5">
        <f>F253-E253</f>
        <v>0</v>
      </c>
      <c r="H253" s="5"/>
      <c r="I253" s="5"/>
      <c r="J253" s="5"/>
    </row>
    <row r="254" spans="1:9" ht="12.75" outlineLevel="1">
      <c r="A254" s="220"/>
      <c r="B254" s="217">
        <v>90001</v>
      </c>
      <c r="C254" s="213"/>
      <c r="D254" s="278" t="s">
        <v>95</v>
      </c>
      <c r="E254" s="232">
        <f>SUM(E255:E260)</f>
        <v>15046230</v>
      </c>
      <c r="G254" s="5"/>
      <c r="H254" s="5"/>
      <c r="I254" s="5"/>
    </row>
    <row r="255" spans="1:9" s="6" customFormat="1" ht="22.5" outlineLevel="2">
      <c r="A255" s="202"/>
      <c r="B255" s="200"/>
      <c r="C255" s="183">
        <v>2910</v>
      </c>
      <c r="D255" s="279" t="s">
        <v>249</v>
      </c>
      <c r="E255" s="490">
        <f>'gw'!E153</f>
        <v>90204</v>
      </c>
      <c r="I255" s="5"/>
    </row>
    <row r="256" spans="1:9" s="6" customFormat="1" ht="12.75" outlineLevel="2">
      <c r="A256" s="202"/>
      <c r="B256" s="200"/>
      <c r="C256" s="183">
        <v>4270</v>
      </c>
      <c r="D256" s="279" t="s">
        <v>2</v>
      </c>
      <c r="E256" s="490">
        <f>inwestycje!E148</f>
        <v>1837200</v>
      </c>
      <c r="I256" s="5"/>
    </row>
    <row r="257" spans="1:9" s="6" customFormat="1" ht="12.75" outlineLevel="2">
      <c r="A257" s="202"/>
      <c r="B257" s="200"/>
      <c r="C257" s="183">
        <v>4300</v>
      </c>
      <c r="D257" s="279" t="s">
        <v>149</v>
      </c>
      <c r="E257" s="490">
        <f>inwestycje!E149</f>
        <v>1475000</v>
      </c>
      <c r="I257" s="5"/>
    </row>
    <row r="258" spans="1:9" s="6" customFormat="1" ht="22.5" outlineLevel="2">
      <c r="A258" s="202"/>
      <c r="B258" s="200"/>
      <c r="C258" s="183">
        <v>4560</v>
      </c>
      <c r="D258" s="279" t="s">
        <v>250</v>
      </c>
      <c r="E258" s="490">
        <f>'gw'!E154</f>
        <v>8576</v>
      </c>
      <c r="I258" s="5"/>
    </row>
    <row r="259" spans="1:9" s="6" customFormat="1" ht="12.75" outlineLevel="2">
      <c r="A259" s="202"/>
      <c r="B259" s="200"/>
      <c r="C259" s="183">
        <v>6050</v>
      </c>
      <c r="D259" s="279" t="s">
        <v>35</v>
      </c>
      <c r="E259" s="490">
        <f>inwestycje!E38</f>
        <v>6579000</v>
      </c>
      <c r="I259" s="5"/>
    </row>
    <row r="260" spans="1:9" s="6" customFormat="1" ht="33.75" outlineLevel="2">
      <c r="A260" s="202"/>
      <c r="B260" s="200"/>
      <c r="C260" s="183">
        <v>6230</v>
      </c>
      <c r="D260" s="279" t="s">
        <v>257</v>
      </c>
      <c r="E260" s="490">
        <f>inwestycje!E39</f>
        <v>5056250</v>
      </c>
      <c r="I260" s="5"/>
    </row>
    <row r="261" spans="1:9" ht="12.75" outlineLevel="1">
      <c r="A261" s="220"/>
      <c r="B261" s="216">
        <v>90002</v>
      </c>
      <c r="C261" s="213"/>
      <c r="D261" s="278" t="s">
        <v>121</v>
      </c>
      <c r="E261" s="232">
        <f>SUM(E262:E263)</f>
        <v>1950000</v>
      </c>
      <c r="H261" s="5"/>
      <c r="I261" s="5"/>
    </row>
    <row r="262" spans="1:9" s="158" customFormat="1" ht="22.5" outlineLevel="1">
      <c r="A262" s="202"/>
      <c r="B262" s="200"/>
      <c r="C262" s="183">
        <v>2610</v>
      </c>
      <c r="D262" s="279" t="s">
        <v>195</v>
      </c>
      <c r="E262" s="490">
        <f>'gw'!E256</f>
        <v>900000</v>
      </c>
      <c r="I262" s="5"/>
    </row>
    <row r="263" spans="1:9" s="6" customFormat="1" ht="33.75" outlineLevel="2">
      <c r="A263" s="202"/>
      <c r="B263" s="200"/>
      <c r="C263" s="183">
        <v>6210</v>
      </c>
      <c r="D263" s="279" t="s">
        <v>88</v>
      </c>
      <c r="E263" s="490">
        <f>inwestycje!E41</f>
        <v>1050000</v>
      </c>
      <c r="I263" s="5"/>
    </row>
    <row r="264" spans="1:9" ht="12.75" outlineLevel="1">
      <c r="A264" s="220"/>
      <c r="B264" s="216">
        <v>90003</v>
      </c>
      <c r="C264" s="213"/>
      <c r="D264" s="278" t="s">
        <v>96</v>
      </c>
      <c r="E264" s="232">
        <f>SUM(E265:E267)</f>
        <v>127980</v>
      </c>
      <c r="H264" s="5"/>
      <c r="I264" s="5"/>
    </row>
    <row r="265" spans="1:9" s="6" customFormat="1" ht="12.75" outlineLevel="2">
      <c r="A265" s="202"/>
      <c r="B265" s="200"/>
      <c r="C265" s="183">
        <v>4210</v>
      </c>
      <c r="D265" s="279" t="s">
        <v>7</v>
      </c>
      <c r="E265" s="490">
        <f>samorządy!E81</f>
        <v>5500</v>
      </c>
      <c r="I265" s="5"/>
    </row>
    <row r="266" spans="1:9" s="6" customFormat="1" ht="12.75" outlineLevel="2">
      <c r="A266" s="202"/>
      <c r="B266" s="200"/>
      <c r="C266" s="183">
        <v>4300</v>
      </c>
      <c r="D266" s="279" t="s">
        <v>8</v>
      </c>
      <c r="E266" s="490">
        <f>'gw'!E258+samorządy!E82</f>
        <v>122352</v>
      </c>
      <c r="I266" s="5"/>
    </row>
    <row r="267" spans="1:9" s="6" customFormat="1" ht="12.75" outlineLevel="2">
      <c r="A267" s="202"/>
      <c r="B267" s="200"/>
      <c r="C267" s="183">
        <v>4430</v>
      </c>
      <c r="D267" s="279" t="s">
        <v>9</v>
      </c>
      <c r="E267" s="490">
        <f>'gw'!E259</f>
        <v>128</v>
      </c>
      <c r="I267" s="5"/>
    </row>
    <row r="268" spans="1:9" ht="12.75" outlineLevel="1">
      <c r="A268" s="220"/>
      <c r="B268" s="216">
        <v>90004</v>
      </c>
      <c r="C268" s="213"/>
      <c r="D268" s="278" t="s">
        <v>97</v>
      </c>
      <c r="E268" s="232">
        <f>SUM(E269:E271)</f>
        <v>221136</v>
      </c>
      <c r="H268" s="5"/>
      <c r="I268" s="5"/>
    </row>
    <row r="269" spans="1:9" s="6" customFormat="1" ht="12.75" outlineLevel="2">
      <c r="A269" s="202"/>
      <c r="B269" s="200"/>
      <c r="C269" s="183">
        <v>4210</v>
      </c>
      <c r="D269" s="279" t="s">
        <v>7</v>
      </c>
      <c r="E269" s="490">
        <f>samorządy!E84</f>
        <v>81355</v>
      </c>
      <c r="I269" s="5"/>
    </row>
    <row r="270" spans="1:9" s="6" customFormat="1" ht="12.75" outlineLevel="2">
      <c r="A270" s="202"/>
      <c r="B270" s="200"/>
      <c r="C270" s="183">
        <v>4270</v>
      </c>
      <c r="D270" s="279" t="s">
        <v>2</v>
      </c>
      <c r="E270" s="490">
        <f>samorządy!E85</f>
        <v>67016</v>
      </c>
      <c r="I270" s="5"/>
    </row>
    <row r="271" spans="1:9" s="6" customFormat="1" ht="12.75" outlineLevel="2">
      <c r="A271" s="202"/>
      <c r="B271" s="200"/>
      <c r="C271" s="183">
        <v>4300</v>
      </c>
      <c r="D271" s="279" t="s">
        <v>8</v>
      </c>
      <c r="E271" s="490">
        <f>samorządy!E86</f>
        <v>72765</v>
      </c>
      <c r="I271" s="5"/>
    </row>
    <row r="272" spans="1:9" ht="12.75" outlineLevel="1">
      <c r="A272" s="220"/>
      <c r="B272" s="216">
        <v>90015</v>
      </c>
      <c r="C272" s="213"/>
      <c r="D272" s="278" t="s">
        <v>98</v>
      </c>
      <c r="E272" s="232">
        <f>SUM(E273:E275)</f>
        <v>470310</v>
      </c>
      <c r="H272" s="5"/>
      <c r="I272" s="5"/>
    </row>
    <row r="273" spans="1:9" s="6" customFormat="1" ht="12.75" outlineLevel="2">
      <c r="A273" s="202"/>
      <c r="B273" s="200"/>
      <c r="C273" s="183">
        <v>4270</v>
      </c>
      <c r="D273" s="279" t="s">
        <v>2</v>
      </c>
      <c r="E273" s="490">
        <f>samorządy!E88</f>
        <v>20000</v>
      </c>
      <c r="I273" s="5"/>
    </row>
    <row r="274" spans="1:9" s="6" customFormat="1" ht="12.75" outlineLevel="2">
      <c r="A274" s="202"/>
      <c r="B274" s="200"/>
      <c r="C274" s="183">
        <v>4300</v>
      </c>
      <c r="D274" s="279" t="s">
        <v>8</v>
      </c>
      <c r="E274" s="490">
        <f>samorządy!E89</f>
        <v>25060</v>
      </c>
      <c r="I274" s="5"/>
    </row>
    <row r="275" spans="1:9" s="6" customFormat="1" ht="33.75" outlineLevel="2">
      <c r="A275" s="202"/>
      <c r="B275" s="200"/>
      <c r="C275" s="183">
        <v>6230</v>
      </c>
      <c r="D275" s="279" t="s">
        <v>257</v>
      </c>
      <c r="E275" s="490">
        <f>inwestycje!E43</f>
        <v>425250</v>
      </c>
      <c r="I275" s="5"/>
    </row>
    <row r="276" spans="1:9" ht="12.75" outlineLevel="1">
      <c r="A276" s="220"/>
      <c r="B276" s="34">
        <v>90095</v>
      </c>
      <c r="C276" s="34"/>
      <c r="D276" s="247" t="s">
        <v>5</v>
      </c>
      <c r="E276" s="232">
        <f>SUM(E277:E281)</f>
        <v>4467358</v>
      </c>
      <c r="G276" s="5"/>
      <c r="H276" s="5"/>
      <c r="I276" s="5"/>
    </row>
    <row r="277" spans="1:9" s="6" customFormat="1" ht="12.75" outlineLevel="2">
      <c r="A277" s="202"/>
      <c r="B277" s="200"/>
      <c r="C277" s="183">
        <v>3030</v>
      </c>
      <c r="D277" s="279" t="s">
        <v>152</v>
      </c>
      <c r="E277" s="490">
        <f>'gw'!E261</f>
        <v>995</v>
      </c>
      <c r="I277" s="5"/>
    </row>
    <row r="278" spans="1:9" s="6" customFormat="1" ht="12.75" outlineLevel="2">
      <c r="A278" s="202"/>
      <c r="B278" s="200"/>
      <c r="C278" s="183">
        <v>4210</v>
      </c>
      <c r="D278" s="279" t="s">
        <v>7</v>
      </c>
      <c r="E278" s="490">
        <f>samorządy!E91+'gw'!E412</f>
        <v>102736</v>
      </c>
      <c r="I278" s="5"/>
    </row>
    <row r="279" spans="1:9" s="6" customFormat="1" ht="12.75" outlineLevel="2">
      <c r="A279" s="202"/>
      <c r="B279" s="200"/>
      <c r="C279" s="183">
        <v>4270</v>
      </c>
      <c r="D279" s="279" t="s">
        <v>2</v>
      </c>
      <c r="E279" s="490">
        <f>'gw'!E262+samorządy!E92+inwestycje!E45</f>
        <v>964000</v>
      </c>
      <c r="I279" s="5"/>
    </row>
    <row r="280" spans="1:9" s="6" customFormat="1" ht="12.75" outlineLevel="2">
      <c r="A280" s="202"/>
      <c r="B280" s="200"/>
      <c r="C280" s="183">
        <v>4300</v>
      </c>
      <c r="D280" s="279" t="s">
        <v>8</v>
      </c>
      <c r="E280" s="490">
        <f>'gw'!E263+inwestycje!E136+samorządy!E93+inwestycje!E151+'gw'!E363+'gw'!E385+'gw'!E413+'gw'!E421+'gw'!E434</f>
        <v>3299627</v>
      </c>
      <c r="I280" s="5"/>
    </row>
    <row r="281" spans="1:9" s="6" customFormat="1" ht="23.25" outlineLevel="2" thickBot="1">
      <c r="A281" s="203"/>
      <c r="B281" s="209"/>
      <c r="C281" s="184">
        <v>6010</v>
      </c>
      <c r="D281" s="282" t="s">
        <v>13</v>
      </c>
      <c r="E281" s="492">
        <f>inwestycje!E137</f>
        <v>100000</v>
      </c>
      <c r="I281" s="5"/>
    </row>
    <row r="282" spans="1:10" ht="16.5" thickBot="1">
      <c r="A282" s="190">
        <v>921</v>
      </c>
      <c r="B282" s="194"/>
      <c r="C282" s="182"/>
      <c r="D282" s="277" t="s">
        <v>99</v>
      </c>
      <c r="E282" s="229">
        <f>E283+E290+E295+E298+E301+E304+E307+E312</f>
        <v>34135837</v>
      </c>
      <c r="F282" s="224">
        <f>'gw'!E224+samorządy!E94+inwestycje!E75+inwestycje!E154</f>
        <v>34135837</v>
      </c>
      <c r="H282" s="5"/>
      <c r="I282" s="5"/>
      <c r="J282" s="5"/>
    </row>
    <row r="283" spans="1:9" ht="12.75" outlineLevel="1">
      <c r="A283" s="220"/>
      <c r="B283" s="217">
        <v>92105</v>
      </c>
      <c r="C283" s="213"/>
      <c r="D283" s="278" t="s">
        <v>100</v>
      </c>
      <c r="E283" s="232">
        <f>SUM(E284:E289)</f>
        <v>2751429</v>
      </c>
      <c r="H283" s="5"/>
      <c r="I283" s="5"/>
    </row>
    <row r="284" spans="1:9" s="6" customFormat="1" ht="22.5" outlineLevel="2">
      <c r="A284" s="202"/>
      <c r="B284" s="200"/>
      <c r="C284" s="183">
        <v>2630</v>
      </c>
      <c r="D284" s="279" t="s">
        <v>20</v>
      </c>
      <c r="E284" s="490">
        <f>'gw'!E226</f>
        <v>2500000</v>
      </c>
      <c r="I284" s="5"/>
    </row>
    <row r="285" spans="1:9" s="6" customFormat="1" ht="12.75" outlineLevel="2">
      <c r="A285" s="202"/>
      <c r="B285" s="200"/>
      <c r="C285" s="183">
        <v>4110</v>
      </c>
      <c r="D285" s="279" t="s">
        <v>161</v>
      </c>
      <c r="E285" s="490">
        <f>samorządy!E96</f>
        <v>716</v>
      </c>
      <c r="I285" s="5"/>
    </row>
    <row r="286" spans="1:9" s="6" customFormat="1" ht="12.75" outlineLevel="2">
      <c r="A286" s="202"/>
      <c r="B286" s="200"/>
      <c r="C286" s="183">
        <v>4120</v>
      </c>
      <c r="D286" s="279" t="s">
        <v>26</v>
      </c>
      <c r="E286" s="490">
        <f>samorządy!E97</f>
        <v>98</v>
      </c>
      <c r="I286" s="5"/>
    </row>
    <row r="287" spans="1:5" s="6" customFormat="1" ht="12.75" outlineLevel="2">
      <c r="A287" s="202"/>
      <c r="B287" s="200"/>
      <c r="C287" s="183">
        <v>4210</v>
      </c>
      <c r="D287" s="279" t="s">
        <v>7</v>
      </c>
      <c r="E287" s="490">
        <f>samorządy!E98</f>
        <v>55801</v>
      </c>
    </row>
    <row r="288" spans="1:5" s="6" customFormat="1" ht="12.75" outlineLevel="2">
      <c r="A288" s="202"/>
      <c r="B288" s="200"/>
      <c r="C288" s="183">
        <v>4260</v>
      </c>
      <c r="D288" s="279" t="s">
        <v>27</v>
      </c>
      <c r="E288" s="490">
        <f>samorządy!E99</f>
        <v>293</v>
      </c>
    </row>
    <row r="289" spans="1:9" s="6" customFormat="1" ht="12.75" outlineLevel="2">
      <c r="A289" s="202"/>
      <c r="B289" s="200"/>
      <c r="C289" s="183">
        <v>4300</v>
      </c>
      <c r="D289" s="279" t="s">
        <v>8</v>
      </c>
      <c r="E289" s="490">
        <f>samorządy!E100</f>
        <v>194521</v>
      </c>
      <c r="I289" s="5"/>
    </row>
    <row r="290" spans="1:9" ht="12.75" outlineLevel="1">
      <c r="A290" s="220"/>
      <c r="B290" s="216">
        <v>92109</v>
      </c>
      <c r="C290" s="213"/>
      <c r="D290" s="278" t="s">
        <v>101</v>
      </c>
      <c r="E290" s="232">
        <f>SUM(E291:E294)</f>
        <v>174450</v>
      </c>
      <c r="H290" s="5"/>
      <c r="I290" s="5"/>
    </row>
    <row r="291" spans="1:5" s="6" customFormat="1" ht="12.75" outlineLevel="2">
      <c r="A291" s="202"/>
      <c r="B291" s="200"/>
      <c r="C291" s="183">
        <v>2550</v>
      </c>
      <c r="D291" s="279" t="s">
        <v>104</v>
      </c>
      <c r="E291" s="490">
        <f>'gw'!E228+inwestycje!E77</f>
        <v>130000</v>
      </c>
    </row>
    <row r="292" spans="1:5" s="6" customFormat="1" ht="12.75" outlineLevel="2">
      <c r="A292" s="202"/>
      <c r="B292" s="200"/>
      <c r="C292" s="183">
        <v>4210</v>
      </c>
      <c r="D292" s="279" t="s">
        <v>7</v>
      </c>
      <c r="E292" s="490">
        <f>samorządy!E102</f>
        <v>22749</v>
      </c>
    </row>
    <row r="293" spans="1:5" s="6" customFormat="1" ht="12.75" outlineLevel="2">
      <c r="A293" s="202"/>
      <c r="B293" s="200"/>
      <c r="C293" s="183">
        <v>4270</v>
      </c>
      <c r="D293" s="279" t="s">
        <v>2</v>
      </c>
      <c r="E293" s="490">
        <f>samorządy!E103</f>
        <v>1000</v>
      </c>
    </row>
    <row r="294" spans="1:9" s="6" customFormat="1" ht="12.75" outlineLevel="2">
      <c r="A294" s="202"/>
      <c r="B294" s="200"/>
      <c r="C294" s="183">
        <v>4300</v>
      </c>
      <c r="D294" s="279" t="s">
        <v>8</v>
      </c>
      <c r="E294" s="490">
        <f>samorządy!E104</f>
        <v>20701</v>
      </c>
      <c r="I294" s="5"/>
    </row>
    <row r="295" spans="1:9" ht="12.75" outlineLevel="1">
      <c r="A295" s="220"/>
      <c r="B295" s="216">
        <v>92110</v>
      </c>
      <c r="C295" s="213"/>
      <c r="D295" s="278" t="s">
        <v>242</v>
      </c>
      <c r="E295" s="232">
        <f>SUM(E296:E297)</f>
        <v>730000</v>
      </c>
      <c r="H295" s="5"/>
      <c r="I295" s="5"/>
    </row>
    <row r="296" spans="1:9" s="6" customFormat="1" ht="12.75" outlineLevel="2">
      <c r="A296" s="202"/>
      <c r="B296" s="200"/>
      <c r="C296" s="183">
        <v>2550</v>
      </c>
      <c r="D296" s="279" t="s">
        <v>104</v>
      </c>
      <c r="E296" s="490">
        <f>'gw'!E230+inwestycje!E79</f>
        <v>720000</v>
      </c>
      <c r="I296" s="5"/>
    </row>
    <row r="297" spans="1:9" s="6" customFormat="1" ht="33.75" outlineLevel="2">
      <c r="A297" s="202"/>
      <c r="B297" s="200"/>
      <c r="C297" s="183">
        <v>6220</v>
      </c>
      <c r="D297" s="279" t="s">
        <v>126</v>
      </c>
      <c r="E297" s="490">
        <f>inwestycje!E80</f>
        <v>10000</v>
      </c>
      <c r="I297" s="5"/>
    </row>
    <row r="298" spans="1:9" ht="12.75" outlineLevel="1">
      <c r="A298" s="220"/>
      <c r="B298" s="216">
        <v>92113</v>
      </c>
      <c r="C298" s="213"/>
      <c r="D298" s="278" t="s">
        <v>243</v>
      </c>
      <c r="E298" s="232">
        <f>SUM(E299:E300)</f>
        <v>6486442</v>
      </c>
      <c r="H298" s="5"/>
      <c r="I298" s="5"/>
    </row>
    <row r="299" spans="1:9" s="6" customFormat="1" ht="12.75" outlineLevel="2">
      <c r="A299" s="202"/>
      <c r="B299" s="200"/>
      <c r="C299" s="183">
        <v>2550</v>
      </c>
      <c r="D299" s="279" t="s">
        <v>104</v>
      </c>
      <c r="E299" s="490">
        <f>'gw'!E232+inwestycje!E82</f>
        <v>6211208</v>
      </c>
      <c r="I299" s="5"/>
    </row>
    <row r="300" spans="1:9" s="6" customFormat="1" ht="33.75" outlineLevel="2">
      <c r="A300" s="202"/>
      <c r="B300" s="200"/>
      <c r="C300" s="183">
        <v>6220</v>
      </c>
      <c r="D300" s="279" t="s">
        <v>126</v>
      </c>
      <c r="E300" s="490">
        <f>inwestycje!E83</f>
        <v>275234</v>
      </c>
      <c r="I300" s="5"/>
    </row>
    <row r="301" spans="1:9" ht="12.75" outlineLevel="1">
      <c r="A301" s="220"/>
      <c r="B301" s="216">
        <v>92116</v>
      </c>
      <c r="C301" s="213"/>
      <c r="D301" s="278" t="s">
        <v>102</v>
      </c>
      <c r="E301" s="232">
        <f>SUM(E302:E303)</f>
        <v>13028100</v>
      </c>
      <c r="H301" s="5"/>
      <c r="I301" s="5"/>
    </row>
    <row r="302" spans="1:9" s="6" customFormat="1" ht="12.75" outlineLevel="2">
      <c r="A302" s="202"/>
      <c r="B302" s="200"/>
      <c r="C302" s="183">
        <v>2550</v>
      </c>
      <c r="D302" s="279" t="s">
        <v>104</v>
      </c>
      <c r="E302" s="490">
        <f>'gw'!E234+inwestycje!E85</f>
        <v>10903100</v>
      </c>
      <c r="I302" s="5"/>
    </row>
    <row r="303" spans="1:9" s="6" customFormat="1" ht="33.75" outlineLevel="2">
      <c r="A303" s="202"/>
      <c r="B303" s="200"/>
      <c r="C303" s="183">
        <v>6220</v>
      </c>
      <c r="D303" s="279" t="s">
        <v>126</v>
      </c>
      <c r="E303" s="490">
        <f>inwestycje!E86</f>
        <v>2125000</v>
      </c>
      <c r="I303" s="5"/>
    </row>
    <row r="304" spans="1:9" ht="12.75" outlineLevel="1">
      <c r="A304" s="220"/>
      <c r="B304" s="216">
        <v>92118</v>
      </c>
      <c r="C304" s="213"/>
      <c r="D304" s="278" t="s">
        <v>244</v>
      </c>
      <c r="E304" s="232">
        <f>SUM(E305:E306)</f>
        <v>8504000</v>
      </c>
      <c r="H304" s="5"/>
      <c r="I304" s="5"/>
    </row>
    <row r="305" spans="1:9" s="6" customFormat="1" ht="12.75" outlineLevel="2">
      <c r="A305" s="202"/>
      <c r="B305" s="200"/>
      <c r="C305" s="183">
        <v>2550</v>
      </c>
      <c r="D305" s="279" t="s">
        <v>104</v>
      </c>
      <c r="E305" s="490">
        <f>'gw'!E236+inwestycje!E88</f>
        <v>7022000</v>
      </c>
      <c r="I305" s="5"/>
    </row>
    <row r="306" spans="1:9" s="6" customFormat="1" ht="33.75" outlineLevel="2">
      <c r="A306" s="202"/>
      <c r="B306" s="200"/>
      <c r="C306" s="183">
        <v>6220</v>
      </c>
      <c r="D306" s="279" t="s">
        <v>126</v>
      </c>
      <c r="E306" s="490">
        <f>inwestycje!E89</f>
        <v>1482000</v>
      </c>
      <c r="I306" s="5"/>
    </row>
    <row r="307" spans="1:9" ht="12.75" outlineLevel="1">
      <c r="A307" s="220"/>
      <c r="B307" s="216">
        <v>92120</v>
      </c>
      <c r="C307" s="213"/>
      <c r="D307" s="278" t="s">
        <v>103</v>
      </c>
      <c r="E307" s="232">
        <f>SUM(E308:E311)</f>
        <v>1589700</v>
      </c>
      <c r="H307" s="5"/>
      <c r="I307" s="5"/>
    </row>
    <row r="308" spans="1:9" s="6" customFormat="1" ht="12.75" outlineLevel="2">
      <c r="A308" s="202"/>
      <c r="B308" s="200"/>
      <c r="C308" s="183">
        <v>2520</v>
      </c>
      <c r="D308" s="279" t="s">
        <v>107</v>
      </c>
      <c r="E308" s="490">
        <f>inwestycje!E155</f>
        <v>140000</v>
      </c>
      <c r="I308" s="5"/>
    </row>
    <row r="309" spans="1:9" s="6" customFormat="1" ht="12.75" outlineLevel="2">
      <c r="A309" s="202"/>
      <c r="B309" s="200"/>
      <c r="C309" s="183">
        <v>2550</v>
      </c>
      <c r="D309" s="279" t="s">
        <v>104</v>
      </c>
      <c r="E309" s="490">
        <f>inwestycje!E156</f>
        <v>393000</v>
      </c>
      <c r="I309" s="5"/>
    </row>
    <row r="310" spans="1:9" s="6" customFormat="1" ht="33.75" outlineLevel="2">
      <c r="A310" s="202"/>
      <c r="B310" s="200"/>
      <c r="C310" s="183">
        <v>2830</v>
      </c>
      <c r="D310" s="279" t="s">
        <v>77</v>
      </c>
      <c r="E310" s="490">
        <f>inwestycje!E157</f>
        <v>782700</v>
      </c>
      <c r="I310" s="5"/>
    </row>
    <row r="311" spans="1:9" s="6" customFormat="1" ht="12.75" outlineLevel="2">
      <c r="A311" s="202"/>
      <c r="B311" s="200"/>
      <c r="C311" s="183">
        <v>4300</v>
      </c>
      <c r="D311" s="279" t="s">
        <v>8</v>
      </c>
      <c r="E311" s="490">
        <f>inwestycje!E158</f>
        <v>274000</v>
      </c>
      <c r="I311" s="5"/>
    </row>
    <row r="312" spans="1:9" ht="12.75" outlineLevel="1">
      <c r="A312" s="220"/>
      <c r="B312" s="216">
        <v>92195</v>
      </c>
      <c r="C312" s="213"/>
      <c r="D312" s="278" t="s">
        <v>5</v>
      </c>
      <c r="E312" s="232">
        <f>SUM(E313:E317)</f>
        <v>871716</v>
      </c>
      <c r="H312" s="5"/>
      <c r="I312" s="5"/>
    </row>
    <row r="313" spans="1:9" s="6" customFormat="1" ht="12.75" outlineLevel="2">
      <c r="A313" s="202"/>
      <c r="B313" s="200"/>
      <c r="C313" s="183">
        <v>3020</v>
      </c>
      <c r="D313" s="279" t="s">
        <v>6</v>
      </c>
      <c r="E313" s="490">
        <v>178000</v>
      </c>
      <c r="I313" s="5"/>
    </row>
    <row r="314" spans="1:9" s="6" customFormat="1" ht="12.75" outlineLevel="2">
      <c r="A314" s="202"/>
      <c r="B314" s="200"/>
      <c r="C314" s="183">
        <v>4210</v>
      </c>
      <c r="D314" s="279" t="s">
        <v>7</v>
      </c>
      <c r="E314" s="490">
        <f>43000+samorządy!E106</f>
        <v>153262</v>
      </c>
      <c r="I314" s="5"/>
    </row>
    <row r="315" spans="1:9" s="6" customFormat="1" ht="12.75" outlineLevel="2">
      <c r="A315" s="202"/>
      <c r="B315" s="200"/>
      <c r="C315" s="183">
        <v>4270</v>
      </c>
      <c r="D315" s="279" t="s">
        <v>2</v>
      </c>
      <c r="E315" s="490">
        <v>15000</v>
      </c>
      <c r="I315" s="5"/>
    </row>
    <row r="316" spans="1:9" s="6" customFormat="1" ht="12.75" outlineLevel="2">
      <c r="A316" s="202"/>
      <c r="B316" s="200"/>
      <c r="C316" s="183">
        <v>4300</v>
      </c>
      <c r="D316" s="279" t="s">
        <v>8</v>
      </c>
      <c r="E316" s="490">
        <f>359000+40000+samorządy!E107</f>
        <v>515394</v>
      </c>
      <c r="I316" s="5"/>
    </row>
    <row r="317" spans="1:9" s="6" customFormat="1" ht="13.5" outlineLevel="2" thickBot="1">
      <c r="A317" s="202"/>
      <c r="B317" s="200"/>
      <c r="C317" s="183">
        <v>4410</v>
      </c>
      <c r="D317" s="279" t="s">
        <v>28</v>
      </c>
      <c r="E317" s="490">
        <f>10000+samorządy!E108</f>
        <v>10060</v>
      </c>
      <c r="I317" s="5"/>
    </row>
    <row r="318" spans="1:10" ht="48" thickBot="1">
      <c r="A318" s="190">
        <v>925</v>
      </c>
      <c r="B318" s="194"/>
      <c r="C318" s="182"/>
      <c r="D318" s="277" t="s">
        <v>105</v>
      </c>
      <c r="E318" s="229">
        <f>E319</f>
        <v>240000</v>
      </c>
      <c r="F318" s="224">
        <f>'gw'!E366</f>
        <v>240000</v>
      </c>
      <c r="H318" s="5"/>
      <c r="I318" s="5"/>
      <c r="J318" s="5"/>
    </row>
    <row r="319" spans="1:10" ht="12.75" outlineLevel="1">
      <c r="A319" s="202"/>
      <c r="B319" s="217">
        <v>92504</v>
      </c>
      <c r="C319" s="213"/>
      <c r="D319" s="278" t="s">
        <v>106</v>
      </c>
      <c r="E319" s="232">
        <f>E320</f>
        <v>240000</v>
      </c>
      <c r="I319" s="5"/>
      <c r="J319" s="5"/>
    </row>
    <row r="320" spans="1:10" s="6" customFormat="1" ht="13.5" outlineLevel="2" thickBot="1">
      <c r="A320" s="202"/>
      <c r="B320" s="200"/>
      <c r="C320" s="205">
        <v>2520</v>
      </c>
      <c r="D320" s="280" t="s">
        <v>107</v>
      </c>
      <c r="E320" s="491">
        <f>'gw'!E366</f>
        <v>240000</v>
      </c>
      <c r="I320" s="5"/>
      <c r="J320" s="5"/>
    </row>
    <row r="321" spans="1:10" ht="16.5" thickBot="1">
      <c r="A321" s="190">
        <v>926</v>
      </c>
      <c r="B321" s="194"/>
      <c r="C321" s="182"/>
      <c r="D321" s="277" t="s">
        <v>108</v>
      </c>
      <c r="E321" s="229">
        <f>E322+E326+E328</f>
        <v>27379079</v>
      </c>
      <c r="F321" s="224">
        <f>'gw'!E179+'gw'!E386+'gw'!E422+samorządy!E109+inwestycje!E46+inwestycje!E66+inwestycje!E70</f>
        <v>27379079</v>
      </c>
      <c r="H321" s="5"/>
      <c r="I321" s="5"/>
      <c r="J321" s="5"/>
    </row>
    <row r="322" spans="1:9" ht="12.75" outlineLevel="1">
      <c r="A322" s="236"/>
      <c r="B322" s="237">
        <v>92601</v>
      </c>
      <c r="C322" s="227"/>
      <c r="D322" s="283" t="s">
        <v>109</v>
      </c>
      <c r="E322" s="234">
        <f>SUM(E323:E325)</f>
        <v>143294</v>
      </c>
      <c r="I322" s="5"/>
    </row>
    <row r="323" spans="1:9" s="6" customFormat="1" ht="12.75" outlineLevel="2">
      <c r="A323" s="202"/>
      <c r="B323" s="200"/>
      <c r="C323" s="183">
        <v>4210</v>
      </c>
      <c r="D323" s="279" t="s">
        <v>7</v>
      </c>
      <c r="E323" s="490">
        <f>samorządy!E111</f>
        <v>2000</v>
      </c>
      <c r="I323" s="5"/>
    </row>
    <row r="324" spans="1:9" s="6" customFormat="1" ht="12.75" outlineLevel="2">
      <c r="A324" s="202"/>
      <c r="B324" s="200"/>
      <c r="C324" s="183">
        <v>4270</v>
      </c>
      <c r="D324" s="279" t="s">
        <v>2</v>
      </c>
      <c r="E324" s="490">
        <f>samorządy!E112</f>
        <v>8294</v>
      </c>
      <c r="I324" s="5"/>
    </row>
    <row r="325" spans="1:9" s="6" customFormat="1" ht="34.5" outlineLevel="2" thickBot="1">
      <c r="A325" s="203"/>
      <c r="B325" s="209"/>
      <c r="C325" s="184">
        <v>6230</v>
      </c>
      <c r="D325" s="282" t="s">
        <v>257</v>
      </c>
      <c r="E325" s="495">
        <f>inwestycje!E48</f>
        <v>133000</v>
      </c>
      <c r="I325" s="5"/>
    </row>
    <row r="326" spans="1:9" ht="12.75" outlineLevel="1">
      <c r="A326" s="236"/>
      <c r="B326" s="237">
        <v>92605</v>
      </c>
      <c r="C326" s="227"/>
      <c r="D326" s="283" t="s">
        <v>110</v>
      </c>
      <c r="E326" s="234">
        <f>SUM(E327:E327)</f>
        <v>3227000</v>
      </c>
      <c r="I326" s="5"/>
    </row>
    <row r="327" spans="1:9" s="6" customFormat="1" ht="22.5" outlineLevel="2">
      <c r="A327" s="202"/>
      <c r="B327" s="200"/>
      <c r="C327" s="183">
        <v>2630</v>
      </c>
      <c r="D327" s="279" t="s">
        <v>20</v>
      </c>
      <c r="E327" s="490">
        <f>'gw'!E181</f>
        <v>3227000</v>
      </c>
      <c r="I327" s="5"/>
    </row>
    <row r="328" spans="1:9" ht="12.75" outlineLevel="1">
      <c r="A328" s="220"/>
      <c r="B328" s="216">
        <v>92695</v>
      </c>
      <c r="C328" s="213"/>
      <c r="D328" s="278" t="s">
        <v>5</v>
      </c>
      <c r="E328" s="232">
        <f>SUM(E329:E338)</f>
        <v>24008785</v>
      </c>
      <c r="I328" s="5"/>
    </row>
    <row r="329" spans="1:9" s="6" customFormat="1" ht="22.5" outlineLevel="2">
      <c r="A329" s="202"/>
      <c r="B329" s="200"/>
      <c r="C329" s="183">
        <v>2610</v>
      </c>
      <c r="D329" s="279" t="s">
        <v>195</v>
      </c>
      <c r="E329" s="493">
        <f>'gw'!E184</f>
        <v>6259709</v>
      </c>
      <c r="I329" s="5"/>
    </row>
    <row r="330" spans="1:9" s="6" customFormat="1" ht="22.5" outlineLevel="2">
      <c r="A330" s="202"/>
      <c r="B330" s="200"/>
      <c r="C330" s="183">
        <v>2630</v>
      </c>
      <c r="D330" s="279" t="s">
        <v>20</v>
      </c>
      <c r="E330" s="493">
        <f>samorządy!E114</f>
        <v>8000</v>
      </c>
      <c r="I330" s="5"/>
    </row>
    <row r="331" spans="1:9" s="6" customFormat="1" ht="12.75" outlineLevel="2">
      <c r="A331" s="202"/>
      <c r="B331" s="200"/>
      <c r="C331" s="183">
        <v>3020</v>
      </c>
      <c r="D331" s="279" t="s">
        <v>6</v>
      </c>
      <c r="E331" s="493">
        <f>'gw'!E185</f>
        <v>100000</v>
      </c>
      <c r="I331" s="5"/>
    </row>
    <row r="332" spans="1:9" s="6" customFormat="1" ht="12.75" outlineLevel="2">
      <c r="A332" s="202"/>
      <c r="B332" s="200"/>
      <c r="C332" s="183">
        <v>4210</v>
      </c>
      <c r="D332" s="279" t="s">
        <v>7</v>
      </c>
      <c r="E332" s="493">
        <f>'gw'!E186+samorządy!E115+'gw'!E424</f>
        <v>348749</v>
      </c>
      <c r="I332" s="5"/>
    </row>
    <row r="333" spans="1:9" s="6" customFormat="1" ht="12.75" outlineLevel="2">
      <c r="A333" s="202"/>
      <c r="B333" s="200"/>
      <c r="C333" s="183">
        <v>4300</v>
      </c>
      <c r="D333" s="279" t="s">
        <v>8</v>
      </c>
      <c r="E333" s="490">
        <f>'gw'!E187+samorządy!E117+'gw'!E388+'gw'!E425</f>
        <v>737907</v>
      </c>
      <c r="I333" s="5"/>
    </row>
    <row r="334" spans="1:9" s="6" customFormat="1" ht="12.75" outlineLevel="2">
      <c r="A334" s="202"/>
      <c r="B334" s="200"/>
      <c r="C334" s="183">
        <v>4410</v>
      </c>
      <c r="D334" s="279" t="s">
        <v>28</v>
      </c>
      <c r="E334" s="493">
        <f>samorządy!E118</f>
        <v>60</v>
      </c>
      <c r="I334" s="5"/>
    </row>
    <row r="335" spans="1:9" s="6" customFormat="1" ht="12.75" outlineLevel="2">
      <c r="A335" s="202"/>
      <c r="B335" s="200"/>
      <c r="C335" s="183">
        <v>4430</v>
      </c>
      <c r="D335" s="279" t="s">
        <v>9</v>
      </c>
      <c r="E335" s="493">
        <f>'gw'!E188</f>
        <v>21300</v>
      </c>
      <c r="I335" s="5"/>
    </row>
    <row r="336" spans="1:9" s="6" customFormat="1" ht="12.75" outlineLevel="2">
      <c r="A336" s="202"/>
      <c r="B336" s="200"/>
      <c r="C336" s="183">
        <v>6050</v>
      </c>
      <c r="D336" s="279" t="s">
        <v>35</v>
      </c>
      <c r="E336" s="493">
        <f>inwestycje!E68+samorządy!E119</f>
        <v>311326</v>
      </c>
      <c r="I336" s="5"/>
    </row>
    <row r="337" spans="1:9" s="6" customFormat="1" ht="33.75" outlineLevel="2">
      <c r="A337" s="202"/>
      <c r="B337" s="200"/>
      <c r="C337" s="183">
        <v>6210</v>
      </c>
      <c r="D337" s="279" t="s">
        <v>88</v>
      </c>
      <c r="E337" s="493">
        <f>inwestycje!E72</f>
        <v>14521734</v>
      </c>
      <c r="I337" s="5"/>
    </row>
    <row r="338" spans="1:9" s="6" customFormat="1" ht="34.5" outlineLevel="2" thickBot="1">
      <c r="A338" s="203"/>
      <c r="B338" s="209"/>
      <c r="C338" s="184">
        <v>6230</v>
      </c>
      <c r="D338" s="282" t="s">
        <v>257</v>
      </c>
      <c r="E338" s="495">
        <f>inwestycje!E73</f>
        <v>1700000</v>
      </c>
      <c r="I338" s="5"/>
    </row>
    <row r="339" ht="12.75">
      <c r="I339" s="5"/>
    </row>
    <row r="340" ht="12.75">
      <c r="I340" s="5"/>
    </row>
    <row r="341" ht="12.75">
      <c r="I341" s="5"/>
    </row>
    <row r="342" ht="12.75">
      <c r="I342" s="5"/>
    </row>
    <row r="343" ht="12.75">
      <c r="I343" s="5"/>
    </row>
    <row r="344" ht="12.75">
      <c r="I344" s="5"/>
    </row>
    <row r="345" ht="12.75">
      <c r="I345" s="5"/>
    </row>
    <row r="346" ht="12.75">
      <c r="I346" s="5"/>
    </row>
    <row r="347" ht="12.75">
      <c r="I347" s="5"/>
    </row>
    <row r="348" ht="12.75">
      <c r="I348" s="5"/>
    </row>
    <row r="349" ht="15.75" customHeight="1">
      <c r="I349" s="5"/>
    </row>
    <row r="350" ht="12.75">
      <c r="I350" s="5"/>
    </row>
    <row r="351" ht="12.75">
      <c r="I351" s="5"/>
    </row>
    <row r="352" ht="12.75">
      <c r="I352" s="5"/>
    </row>
    <row r="353" ht="12.75">
      <c r="I353" s="5"/>
    </row>
    <row r="354" ht="12.75">
      <c r="I354" s="5"/>
    </row>
    <row r="355" ht="12.75">
      <c r="I355" s="5"/>
    </row>
    <row r="356" ht="12.75">
      <c r="I356" s="5"/>
    </row>
    <row r="357" ht="12.75">
      <c r="I357" s="5"/>
    </row>
    <row r="358" ht="12.75">
      <c r="I358" s="5"/>
    </row>
    <row r="359" ht="12.75">
      <c r="I359" s="5"/>
    </row>
    <row r="360" ht="12.75">
      <c r="I360" s="5"/>
    </row>
    <row r="361" ht="12.75">
      <c r="I361" s="5"/>
    </row>
    <row r="362" ht="12.75">
      <c r="I362" s="5"/>
    </row>
    <row r="363" ht="12.75">
      <c r="I363" s="5"/>
    </row>
    <row r="364" ht="12.75">
      <c r="I364" s="5"/>
    </row>
    <row r="365" ht="12.75">
      <c r="I365" s="5"/>
    </row>
    <row r="366" ht="12.75">
      <c r="I366" s="5"/>
    </row>
    <row r="367" ht="12.75">
      <c r="I367" s="5"/>
    </row>
    <row r="368" ht="12.75">
      <c r="I368" s="5"/>
    </row>
    <row r="369" ht="12.75">
      <c r="I369" s="5"/>
    </row>
    <row r="370" ht="12.75">
      <c r="I370" s="5"/>
    </row>
    <row r="371" ht="12.75">
      <c r="I371" s="5"/>
    </row>
    <row r="372" ht="12.75">
      <c r="I372" s="5"/>
    </row>
    <row r="373" ht="12.75">
      <c r="I373" s="5"/>
    </row>
    <row r="374" ht="12.75">
      <c r="I374" s="5"/>
    </row>
    <row r="375" ht="12.75">
      <c r="I375" s="5"/>
    </row>
    <row r="376" ht="12.75">
      <c r="I376" s="5"/>
    </row>
    <row r="377" ht="12.75">
      <c r="I377" s="5"/>
    </row>
    <row r="378" ht="12.75">
      <c r="I378" s="5"/>
    </row>
    <row r="379" ht="12.75">
      <c r="I379" s="5"/>
    </row>
    <row r="380" ht="12.75">
      <c r="I380" s="5"/>
    </row>
    <row r="381" ht="12.75">
      <c r="I381" s="5"/>
    </row>
    <row r="382" ht="12.75">
      <c r="I382" s="5"/>
    </row>
    <row r="383" ht="12.75">
      <c r="I383" s="5"/>
    </row>
    <row r="384" ht="12.75">
      <c r="I384" s="5"/>
    </row>
    <row r="385" ht="12.75">
      <c r="I385" s="5"/>
    </row>
    <row r="386" ht="12.75">
      <c r="I386" s="5"/>
    </row>
    <row r="387" ht="12.75">
      <c r="I387" s="5"/>
    </row>
    <row r="388" ht="12.75">
      <c r="I388" s="5"/>
    </row>
    <row r="389" ht="12.75">
      <c r="I389" s="5"/>
    </row>
    <row r="390" ht="12.75">
      <c r="I390" s="5"/>
    </row>
    <row r="391" ht="12.75">
      <c r="I391" s="5"/>
    </row>
    <row r="392" ht="12.75">
      <c r="I392" s="5"/>
    </row>
    <row r="393" ht="12.75">
      <c r="I393" s="5"/>
    </row>
    <row r="394" ht="12.75">
      <c r="I394" s="5"/>
    </row>
    <row r="395" ht="12.75">
      <c r="I395" s="5"/>
    </row>
    <row r="396" ht="12.75">
      <c r="I396" s="5"/>
    </row>
    <row r="397" ht="12.75">
      <c r="I397" s="5"/>
    </row>
    <row r="398" ht="12.75">
      <c r="I398" s="5"/>
    </row>
    <row r="399" ht="12.75">
      <c r="I399" s="5"/>
    </row>
    <row r="400" ht="12.75">
      <c r="I400" s="5"/>
    </row>
  </sheetData>
  <printOptions/>
  <pageMargins left="0.82" right="0.18" top="0.46" bottom="0.6" header="0.48" footer="0.6"/>
  <pageSetup horizontalDpi="300" verticalDpi="300" orientation="portrait" paperSize="9" scale="96" r:id="rId1"/>
  <rowBreaks count="7" manualBreakCount="7">
    <brk id="47" max="4" man="1"/>
    <brk id="102" max="4" man="1"/>
    <brk id="149" max="4" man="1"/>
    <brk id="192" max="4" man="1"/>
    <brk id="236" max="4" man="1"/>
    <brk id="281" max="4" man="1"/>
    <brk id="32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D8" sqref="D8"/>
    </sheetView>
  </sheetViews>
  <sheetFormatPr defaultColWidth="9.140625" defaultRowHeight="12.75" outlineLevelRow="4"/>
  <cols>
    <col min="1" max="1" width="5.421875" style="0" customWidth="1"/>
    <col min="2" max="3" width="6.00390625" style="0" bestFit="1" customWidth="1"/>
    <col min="4" max="4" width="50.7109375" style="0" customWidth="1"/>
    <col min="5" max="5" width="20.7109375" style="0" customWidth="1"/>
    <col min="6" max="6" width="19.00390625" style="285" customWidth="1"/>
  </cols>
  <sheetData>
    <row r="1" ht="12.75" outlineLevel="4"/>
    <row r="2" spans="1:6" ht="90.75" outlineLevel="4" thickBot="1">
      <c r="A2" s="575" t="s">
        <v>216</v>
      </c>
      <c r="B2" s="575"/>
      <c r="C2" s="575"/>
      <c r="D2" s="575"/>
      <c r="E2" s="18" t="s">
        <v>412</v>
      </c>
      <c r="F2" s="18"/>
    </row>
    <row r="3" spans="5:6" ht="13.5" outlineLevel="4" thickBot="1">
      <c r="E3" s="225">
        <f>E5+E20+E32+E37</f>
        <v>3911560</v>
      </c>
      <c r="F3" s="549">
        <f>'gz'!E2</f>
        <v>3911560</v>
      </c>
    </row>
    <row r="4" spans="1:5" ht="12.75" customHeight="1" thickBot="1">
      <c r="A4" s="1"/>
      <c r="B4" s="1"/>
      <c r="C4" s="1"/>
      <c r="D4" s="1"/>
      <c r="E4" s="286"/>
    </row>
    <row r="5" spans="1:5" ht="14.25" customHeight="1" thickBot="1">
      <c r="A5" s="218">
        <v>750</v>
      </c>
      <c r="B5" s="214"/>
      <c r="C5" s="215"/>
      <c r="D5" s="219" t="s">
        <v>22</v>
      </c>
      <c r="E5" s="229">
        <f>E6+E13</f>
        <v>3495507</v>
      </c>
    </row>
    <row r="6" spans="1:5" ht="14.25" customHeight="1" outlineLevel="1">
      <c r="A6" s="220"/>
      <c r="B6" s="217">
        <v>75011</v>
      </c>
      <c r="C6" s="213"/>
      <c r="D6" s="221" t="s">
        <v>23</v>
      </c>
      <c r="E6" s="232">
        <f>SUM(E7:E12)</f>
        <v>2329600</v>
      </c>
    </row>
    <row r="7" spans="1:5" ht="12" customHeight="1" outlineLevel="2">
      <c r="A7" s="202"/>
      <c r="B7" s="200"/>
      <c r="C7" s="183">
        <v>4010</v>
      </c>
      <c r="D7" s="222" t="s">
        <v>24</v>
      </c>
      <c r="E7" s="497">
        <f>'gz'!E8</f>
        <v>1747286.55</v>
      </c>
    </row>
    <row r="8" spans="1:5" ht="12" customHeight="1" outlineLevel="2">
      <c r="A8" s="202"/>
      <c r="B8" s="200"/>
      <c r="C8" s="183">
        <v>4050</v>
      </c>
      <c r="D8" s="222" t="s">
        <v>214</v>
      </c>
      <c r="E8" s="497">
        <f>'gz'!E9</f>
        <v>32943.45</v>
      </c>
    </row>
    <row r="9" spans="1:5" ht="12" customHeight="1" outlineLevel="2">
      <c r="A9" s="202"/>
      <c r="B9" s="200"/>
      <c r="C9" s="183">
        <v>4110</v>
      </c>
      <c r="D9" s="222" t="s">
        <v>25</v>
      </c>
      <c r="E9" s="497">
        <f>'gz'!E10</f>
        <v>312416</v>
      </c>
    </row>
    <row r="10" spans="1:5" ht="12" customHeight="1" outlineLevel="2">
      <c r="A10" s="202"/>
      <c r="B10" s="200"/>
      <c r="C10" s="183">
        <v>4120</v>
      </c>
      <c r="D10" s="222" t="s">
        <v>26</v>
      </c>
      <c r="E10" s="497">
        <f>'gz'!E11</f>
        <v>42809</v>
      </c>
    </row>
    <row r="11" spans="1:5" ht="12" customHeight="1" outlineLevel="2">
      <c r="A11" s="202"/>
      <c r="B11" s="200"/>
      <c r="C11" s="183">
        <v>4300</v>
      </c>
      <c r="D11" s="222" t="s">
        <v>8</v>
      </c>
      <c r="E11" s="497">
        <f>'gz'!E12</f>
        <v>115292</v>
      </c>
    </row>
    <row r="12" spans="1:5" ht="12" customHeight="1" outlineLevel="2">
      <c r="A12" s="202"/>
      <c r="B12" s="200"/>
      <c r="C12" s="183">
        <v>4440</v>
      </c>
      <c r="D12" s="222" t="s">
        <v>29</v>
      </c>
      <c r="E12" s="497">
        <f>'gz'!E13</f>
        <v>78853</v>
      </c>
    </row>
    <row r="13" spans="1:5" s="17" customFormat="1" ht="12.75">
      <c r="A13" s="65"/>
      <c r="B13" s="117">
        <v>75056</v>
      </c>
      <c r="C13" s="34"/>
      <c r="D13" s="260" t="s">
        <v>224</v>
      </c>
      <c r="E13" s="35">
        <f>SUM(E14:E19)</f>
        <v>1165907</v>
      </c>
    </row>
    <row r="14" spans="1:5" ht="12" customHeight="1" outlineLevel="2">
      <c r="A14" s="202"/>
      <c r="B14" s="200"/>
      <c r="C14" s="183">
        <v>3030</v>
      </c>
      <c r="D14" s="222" t="s">
        <v>152</v>
      </c>
      <c r="E14" s="269">
        <v>453380</v>
      </c>
    </row>
    <row r="15" spans="1:5" ht="12" customHeight="1" outlineLevel="2">
      <c r="A15" s="202"/>
      <c r="B15" s="200"/>
      <c r="C15" s="183">
        <v>4110</v>
      </c>
      <c r="D15" s="222" t="s">
        <v>25</v>
      </c>
      <c r="E15" s="269">
        <f>'gz'!E25</f>
        <v>33715</v>
      </c>
    </row>
    <row r="16" spans="1:5" ht="12" customHeight="1" outlineLevel="2">
      <c r="A16" s="202"/>
      <c r="B16" s="200"/>
      <c r="C16" s="183">
        <v>4120</v>
      </c>
      <c r="D16" s="222" t="s">
        <v>26</v>
      </c>
      <c r="E16" s="269">
        <f>'gz'!E26</f>
        <v>4835</v>
      </c>
    </row>
    <row r="17" spans="1:5" ht="12" customHeight="1" outlineLevel="2">
      <c r="A17" s="202"/>
      <c r="B17" s="200"/>
      <c r="C17" s="183">
        <v>4210</v>
      </c>
      <c r="D17" s="222" t="s">
        <v>7</v>
      </c>
      <c r="E17" s="269">
        <f>'gz'!E27</f>
        <v>4543</v>
      </c>
    </row>
    <row r="18" spans="1:5" ht="12" customHeight="1" outlineLevel="2">
      <c r="A18" s="202"/>
      <c r="B18" s="200"/>
      <c r="C18" s="183">
        <v>4300</v>
      </c>
      <c r="D18" s="222" t="s">
        <v>8</v>
      </c>
      <c r="E18" s="269">
        <f>'gz'!E28</f>
        <v>635490</v>
      </c>
    </row>
    <row r="19" spans="1:5" ht="12" customHeight="1" outlineLevel="2" thickBot="1">
      <c r="A19" s="202"/>
      <c r="B19" s="200"/>
      <c r="C19" s="183">
        <v>4410</v>
      </c>
      <c r="D19" s="222" t="s">
        <v>28</v>
      </c>
      <c r="E19" s="269">
        <f>'gz'!E29</f>
        <v>33944</v>
      </c>
    </row>
    <row r="20" spans="1:5" ht="48" thickBot="1">
      <c r="A20" s="218">
        <v>751</v>
      </c>
      <c r="B20" s="214"/>
      <c r="C20" s="215"/>
      <c r="D20" s="219" t="s">
        <v>41</v>
      </c>
      <c r="E20" s="229">
        <f>E21+E26</f>
        <v>400753</v>
      </c>
    </row>
    <row r="21" spans="1:5" s="73" customFormat="1" ht="25.5">
      <c r="A21" s="254"/>
      <c r="B21" s="251">
        <v>75101</v>
      </c>
      <c r="C21" s="251"/>
      <c r="D21" s="255" t="s">
        <v>42</v>
      </c>
      <c r="E21" s="256">
        <f>SUM(E22:E25)</f>
        <v>83808</v>
      </c>
    </row>
    <row r="22" spans="1:5" ht="12" customHeight="1" outlineLevel="2">
      <c r="A22" s="202"/>
      <c r="B22" s="200"/>
      <c r="C22" s="183">
        <v>4010</v>
      </c>
      <c r="D22" s="222" t="s">
        <v>24</v>
      </c>
      <c r="E22" s="269">
        <f>'gz'!E39</f>
        <v>66324</v>
      </c>
    </row>
    <row r="23" spans="1:5" ht="12" customHeight="1" outlineLevel="2">
      <c r="A23" s="202"/>
      <c r="B23" s="200"/>
      <c r="C23" s="183">
        <v>4110</v>
      </c>
      <c r="D23" s="222" t="s">
        <v>25</v>
      </c>
      <c r="E23" s="269">
        <f>'gz'!E40</f>
        <v>11859</v>
      </c>
    </row>
    <row r="24" spans="1:5" ht="12" customHeight="1" outlineLevel="2">
      <c r="A24" s="202"/>
      <c r="B24" s="200"/>
      <c r="C24" s="183">
        <v>4120</v>
      </c>
      <c r="D24" s="222" t="s">
        <v>26</v>
      </c>
      <c r="E24" s="269">
        <f>'gz'!E41</f>
        <v>1625</v>
      </c>
    </row>
    <row r="25" spans="1:5" ht="12" customHeight="1" outlineLevel="2">
      <c r="A25" s="202"/>
      <c r="B25" s="200"/>
      <c r="C25" s="183">
        <v>4300</v>
      </c>
      <c r="D25" s="222" t="s">
        <v>8</v>
      </c>
      <c r="E25" s="269">
        <f>'gz'!E42</f>
        <v>4000</v>
      </c>
    </row>
    <row r="26" spans="1:5" s="17" customFormat="1" ht="25.5">
      <c r="A26" s="65"/>
      <c r="B26" s="117">
        <v>75109</v>
      </c>
      <c r="C26" s="34"/>
      <c r="D26" s="247" t="s">
        <v>404</v>
      </c>
      <c r="E26" s="35">
        <f>SUM(E27:E31)</f>
        <v>316945</v>
      </c>
    </row>
    <row r="27" spans="1:5" ht="12" customHeight="1" outlineLevel="2">
      <c r="A27" s="202"/>
      <c r="B27" s="200"/>
      <c r="C27" s="183" t="s">
        <v>400</v>
      </c>
      <c r="D27" s="222" t="s">
        <v>25</v>
      </c>
      <c r="E27" s="269">
        <v>15500</v>
      </c>
    </row>
    <row r="28" spans="1:5" ht="12" customHeight="1" outlineLevel="2">
      <c r="A28" s="202"/>
      <c r="B28" s="200"/>
      <c r="C28" s="183" t="s">
        <v>401</v>
      </c>
      <c r="D28" s="222" t="s">
        <v>26</v>
      </c>
      <c r="E28" s="269">
        <v>2130</v>
      </c>
    </row>
    <row r="29" spans="1:5" ht="12" customHeight="1" outlineLevel="2">
      <c r="A29" s="202"/>
      <c r="B29" s="200"/>
      <c r="C29" s="183" t="s">
        <v>399</v>
      </c>
      <c r="D29" s="222" t="s">
        <v>7</v>
      </c>
      <c r="E29" s="269">
        <v>20955</v>
      </c>
    </row>
    <row r="30" spans="1:5" ht="12" customHeight="1" outlineLevel="2">
      <c r="A30" s="202"/>
      <c r="B30" s="200"/>
      <c r="C30" s="183" t="s">
        <v>307</v>
      </c>
      <c r="D30" s="222" t="s">
        <v>8</v>
      </c>
      <c r="E30" s="269">
        <v>269385</v>
      </c>
    </row>
    <row r="31" spans="1:5" ht="12" customHeight="1" outlineLevel="2" thickBot="1">
      <c r="A31" s="202"/>
      <c r="B31" s="200"/>
      <c r="C31" s="183" t="s">
        <v>402</v>
      </c>
      <c r="D31" s="222" t="s">
        <v>28</v>
      </c>
      <c r="E31" s="269">
        <v>8975</v>
      </c>
    </row>
    <row r="32" spans="1:5" ht="14.25" customHeight="1" thickBot="1">
      <c r="A32" s="218">
        <v>754</v>
      </c>
      <c r="B32" s="214"/>
      <c r="C32" s="215"/>
      <c r="D32" s="219" t="s">
        <v>46</v>
      </c>
      <c r="E32" s="229">
        <f>E33</f>
        <v>9300</v>
      </c>
    </row>
    <row r="33" spans="1:5" s="17" customFormat="1" ht="12.75">
      <c r="A33" s="65"/>
      <c r="B33" s="117">
        <v>75414</v>
      </c>
      <c r="C33" s="34"/>
      <c r="D33" s="260" t="s">
        <v>48</v>
      </c>
      <c r="E33" s="35">
        <f>SUM(E34:E36)</f>
        <v>9300</v>
      </c>
    </row>
    <row r="34" spans="1:5" ht="12" customHeight="1" outlineLevel="2">
      <c r="A34" s="202"/>
      <c r="B34" s="200"/>
      <c r="C34" s="183">
        <v>4210</v>
      </c>
      <c r="D34" s="222" t="s">
        <v>7</v>
      </c>
      <c r="E34" s="269">
        <f>'gz'!E33</f>
        <v>4540</v>
      </c>
    </row>
    <row r="35" spans="1:5" ht="12" customHeight="1" outlineLevel="2">
      <c r="A35" s="202"/>
      <c r="B35" s="200"/>
      <c r="C35" s="183">
        <v>4300</v>
      </c>
      <c r="D35" s="222" t="s">
        <v>8</v>
      </c>
      <c r="E35" s="269">
        <f>'gz'!E34</f>
        <v>4550</v>
      </c>
    </row>
    <row r="36" spans="1:5" ht="12" customHeight="1" outlineLevel="2" thickBot="1">
      <c r="A36" s="203"/>
      <c r="B36" s="209"/>
      <c r="C36" s="184">
        <v>4430</v>
      </c>
      <c r="D36" s="223" t="s">
        <v>9</v>
      </c>
      <c r="E36" s="269">
        <f>'gz'!E35</f>
        <v>210</v>
      </c>
    </row>
    <row r="37" spans="1:5" ht="14.25" customHeight="1" thickBot="1">
      <c r="A37" s="218">
        <v>921</v>
      </c>
      <c r="B37" s="214"/>
      <c r="C37" s="215"/>
      <c r="D37" s="219" t="s">
        <v>99</v>
      </c>
      <c r="E37" s="229">
        <f>E38</f>
        <v>6000</v>
      </c>
    </row>
    <row r="38" spans="1:5" s="17" customFormat="1" ht="12.75">
      <c r="A38" s="65"/>
      <c r="B38" s="117">
        <v>92116</v>
      </c>
      <c r="C38" s="34"/>
      <c r="D38" s="260" t="s">
        <v>102</v>
      </c>
      <c r="E38" s="35">
        <f>E39</f>
        <v>6000</v>
      </c>
    </row>
    <row r="39" spans="1:5" ht="12" customHeight="1" outlineLevel="2" thickBot="1">
      <c r="A39" s="203"/>
      <c r="B39" s="209"/>
      <c r="C39" s="184">
        <v>2550</v>
      </c>
      <c r="D39" s="223" t="s">
        <v>104</v>
      </c>
      <c r="E39" s="422">
        <v>6000</v>
      </c>
    </row>
  </sheetData>
  <autoFilter ref="B1:B36"/>
  <mergeCells count="1">
    <mergeCell ref="A2:D2"/>
  </mergeCells>
  <printOptions/>
  <pageMargins left="0.89" right="0.29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SheetLayoutView="100" workbookViewId="0" topLeftCell="A43">
      <selection activeCell="A60" sqref="A60"/>
    </sheetView>
  </sheetViews>
  <sheetFormatPr defaultColWidth="9.140625" defaultRowHeight="12.75" outlineLevelRow="4"/>
  <cols>
    <col min="1" max="1" width="5.421875" style="197" customWidth="1"/>
    <col min="2" max="2" width="6.00390625" style="2" bestFit="1" customWidth="1"/>
    <col min="3" max="3" width="6.00390625" style="2" customWidth="1"/>
    <col min="4" max="4" width="50.57421875" style="15" customWidth="1"/>
    <col min="5" max="5" width="20.421875" style="224" customWidth="1"/>
    <col min="6" max="6" width="19.00390625" style="224" customWidth="1"/>
    <col min="7" max="7" width="11.8515625" style="3" bestFit="1" customWidth="1"/>
    <col min="8" max="8" width="11.421875" style="3" bestFit="1" customWidth="1"/>
    <col min="9" max="16384" width="9.140625" style="3" customWidth="1"/>
  </cols>
  <sheetData>
    <row r="1" spans="5:6" ht="2.25" customHeight="1" outlineLevel="4">
      <c r="E1" s="272"/>
      <c r="F1" s="272"/>
    </row>
    <row r="2" spans="4:6" ht="87" customHeight="1" outlineLevel="4" thickBot="1">
      <c r="D2" s="163" t="s">
        <v>259</v>
      </c>
      <c r="E2" s="18" t="s">
        <v>411</v>
      </c>
      <c r="F2" s="18"/>
    </row>
    <row r="3" spans="5:6" ht="13.5" outlineLevel="4" thickBot="1">
      <c r="E3" s="225">
        <f>E8+E11+E18+E28+E55+E61+E75+E80+E86</f>
        <v>39935429</v>
      </c>
      <c r="F3" s="224">
        <f>pw!E2+inwestycje!E163</f>
        <v>39935429</v>
      </c>
    </row>
    <row r="4" spans="1:6" ht="7.5" customHeight="1" thickBot="1">
      <c r="A4" s="198"/>
      <c r="B4" s="4"/>
      <c r="C4" s="4"/>
      <c r="D4" s="16"/>
      <c r="E4" s="226"/>
      <c r="F4" s="224">
        <f>F3-E3</f>
        <v>0</v>
      </c>
    </row>
    <row r="5" spans="1:7" ht="16.5" hidden="1" thickBot="1">
      <c r="A5" s="190">
        <v>600</v>
      </c>
      <c r="B5" s="194"/>
      <c r="C5" s="182"/>
      <c r="D5" s="186" t="s">
        <v>14</v>
      </c>
      <c r="E5" s="229"/>
      <c r="G5" s="5"/>
    </row>
    <row r="6" spans="1:5" ht="12.75" hidden="1" outlineLevel="1">
      <c r="A6" s="201"/>
      <c r="B6" s="193">
        <v>60015</v>
      </c>
      <c r="C6" s="72"/>
      <c r="D6" s="151" t="s">
        <v>261</v>
      </c>
      <c r="E6" s="239"/>
    </row>
    <row r="7" spans="1:5" s="6" customFormat="1" ht="13.5" hidden="1" outlineLevel="2" thickBot="1">
      <c r="A7" s="202"/>
      <c r="B7" s="192"/>
      <c r="C7" s="183">
        <v>6800</v>
      </c>
      <c r="D7" s="187" t="s">
        <v>58</v>
      </c>
      <c r="E7" s="231"/>
    </row>
    <row r="8" spans="1:7" ht="16.5" collapsed="1" thickBot="1">
      <c r="A8" s="190">
        <v>700</v>
      </c>
      <c r="B8" s="194"/>
      <c r="C8" s="182"/>
      <c r="D8" s="186" t="s">
        <v>21</v>
      </c>
      <c r="E8" s="229">
        <f>E9</f>
        <v>1120000</v>
      </c>
      <c r="G8" s="5"/>
    </row>
    <row r="9" spans="1:5" ht="12.75" outlineLevel="1">
      <c r="A9" s="201"/>
      <c r="B9" s="193">
        <v>70095</v>
      </c>
      <c r="C9" s="72"/>
      <c r="D9" s="151" t="s">
        <v>5</v>
      </c>
      <c r="E9" s="239">
        <f>E10</f>
        <v>1120000</v>
      </c>
    </row>
    <row r="10" spans="1:5" s="6" customFormat="1" ht="13.5" outlineLevel="2" thickBot="1">
      <c r="A10" s="202"/>
      <c r="B10" s="192"/>
      <c r="C10" s="183">
        <v>4300</v>
      </c>
      <c r="D10" s="187" t="s">
        <v>8</v>
      </c>
      <c r="E10" s="231">
        <f>pw!E102</f>
        <v>1120000</v>
      </c>
    </row>
    <row r="11" spans="1:7" ht="14.25" customHeight="1" thickBot="1">
      <c r="A11" s="190">
        <v>750</v>
      </c>
      <c r="B11" s="194"/>
      <c r="C11" s="182"/>
      <c r="D11" s="186" t="s">
        <v>22</v>
      </c>
      <c r="E11" s="229">
        <f>E12</f>
        <v>101200</v>
      </c>
      <c r="G11" s="5"/>
    </row>
    <row r="12" spans="1:6" s="17" customFormat="1" ht="12.75">
      <c r="A12" s="140"/>
      <c r="B12" s="91">
        <v>75045</v>
      </c>
      <c r="C12" s="91"/>
      <c r="D12" s="242" t="s">
        <v>37</v>
      </c>
      <c r="E12" s="92">
        <f>SUM(E13:E17)</f>
        <v>101200</v>
      </c>
      <c r="F12" s="105"/>
    </row>
    <row r="13" spans="1:5" s="6" customFormat="1" ht="12.75" outlineLevel="2">
      <c r="A13" s="202"/>
      <c r="B13" s="200"/>
      <c r="C13" s="183">
        <v>4110</v>
      </c>
      <c r="D13" s="187" t="s">
        <v>25</v>
      </c>
      <c r="E13" s="231">
        <f>pw!E106</f>
        <v>3780</v>
      </c>
    </row>
    <row r="14" spans="1:5" s="6" customFormat="1" ht="12.75" outlineLevel="2">
      <c r="A14" s="202"/>
      <c r="B14" s="200"/>
      <c r="C14" s="183">
        <v>4120</v>
      </c>
      <c r="D14" s="187" t="s">
        <v>26</v>
      </c>
      <c r="E14" s="231">
        <f>pw!E107</f>
        <v>685</v>
      </c>
    </row>
    <row r="15" spans="1:5" s="6" customFormat="1" ht="12.75" outlineLevel="2">
      <c r="A15" s="202"/>
      <c r="B15" s="200"/>
      <c r="C15" s="183">
        <v>4210</v>
      </c>
      <c r="D15" s="187" t="s">
        <v>7</v>
      </c>
      <c r="E15" s="231">
        <f>pw!E108</f>
        <v>1300</v>
      </c>
    </row>
    <row r="16" spans="1:5" s="6" customFormat="1" ht="12.75" outlineLevel="2">
      <c r="A16" s="202"/>
      <c r="B16" s="200"/>
      <c r="C16" s="183">
        <v>4260</v>
      </c>
      <c r="D16" s="187" t="s">
        <v>27</v>
      </c>
      <c r="E16" s="231">
        <f>pw!E109</f>
        <v>1500</v>
      </c>
    </row>
    <row r="17" spans="1:5" s="6" customFormat="1" ht="13.5" outlineLevel="2" thickBot="1">
      <c r="A17" s="202"/>
      <c r="B17" s="200"/>
      <c r="C17" s="183">
        <v>4300</v>
      </c>
      <c r="D17" s="187" t="s">
        <v>8</v>
      </c>
      <c r="E17" s="231">
        <f>pw!E110</f>
        <v>93935</v>
      </c>
    </row>
    <row r="18" spans="1:7" ht="32.25" thickBot="1">
      <c r="A18" s="190">
        <v>754</v>
      </c>
      <c r="B18" s="194"/>
      <c r="C18" s="182"/>
      <c r="D18" s="186" t="s">
        <v>46</v>
      </c>
      <c r="E18" s="229">
        <f>E19+E25</f>
        <v>4799330</v>
      </c>
      <c r="G18" s="5"/>
    </row>
    <row r="19" spans="1:6" s="17" customFormat="1" ht="12.75">
      <c r="A19" s="50"/>
      <c r="B19" s="51">
        <v>75414</v>
      </c>
      <c r="C19" s="34"/>
      <c r="D19" s="267" t="s">
        <v>48</v>
      </c>
      <c r="E19" s="261">
        <f>SUM(E20:E24)</f>
        <v>4791730</v>
      </c>
      <c r="F19" s="105"/>
    </row>
    <row r="20" spans="1:5" s="6" customFormat="1" ht="12.75" outlineLevel="2">
      <c r="A20" s="202"/>
      <c r="B20" s="200"/>
      <c r="C20" s="183">
        <v>4210</v>
      </c>
      <c r="D20" s="187" t="s">
        <v>7</v>
      </c>
      <c r="E20" s="231">
        <f>pw!E82</f>
        <v>890</v>
      </c>
    </row>
    <row r="21" spans="1:5" s="6" customFormat="1" ht="12.75" outlineLevel="2">
      <c r="A21" s="202"/>
      <c r="B21" s="200"/>
      <c r="C21" s="183">
        <v>4260</v>
      </c>
      <c r="D21" s="187" t="s">
        <v>27</v>
      </c>
      <c r="E21" s="231">
        <f>pw!E83</f>
        <v>5780</v>
      </c>
    </row>
    <row r="22" spans="1:5" s="6" customFormat="1" ht="12.75" outlineLevel="2">
      <c r="A22" s="202"/>
      <c r="B22" s="200"/>
      <c r="C22" s="183">
        <v>4270</v>
      </c>
      <c r="D22" s="187" t="s">
        <v>2</v>
      </c>
      <c r="E22" s="231">
        <f>pw!E84</f>
        <v>94200</v>
      </c>
    </row>
    <row r="23" spans="1:5" s="6" customFormat="1" ht="12.75" outlineLevel="2">
      <c r="A23" s="202"/>
      <c r="B23" s="200"/>
      <c r="C23" s="183">
        <v>4300</v>
      </c>
      <c r="D23" s="187" t="s">
        <v>8</v>
      </c>
      <c r="E23" s="231">
        <f>pw!E85</f>
        <v>32090</v>
      </c>
    </row>
    <row r="24" spans="1:5" s="6" customFormat="1" ht="12.75" outlineLevel="2">
      <c r="A24" s="202"/>
      <c r="B24" s="200"/>
      <c r="C24" s="183">
        <v>6050</v>
      </c>
      <c r="D24" s="187" t="s">
        <v>35</v>
      </c>
      <c r="E24" s="231">
        <f>inwestycje!E179</f>
        <v>4658770</v>
      </c>
    </row>
    <row r="25" spans="1:6" s="17" customFormat="1" ht="12.75">
      <c r="A25" s="113"/>
      <c r="B25" s="51">
        <v>75495</v>
      </c>
      <c r="C25" s="34"/>
      <c r="D25" s="151" t="s">
        <v>5</v>
      </c>
      <c r="E25" s="239">
        <f>SUM(E26:E27)</f>
        <v>7600</v>
      </c>
      <c r="F25" s="105"/>
    </row>
    <row r="26" spans="1:5" s="6" customFormat="1" ht="12.75" outlineLevel="2">
      <c r="A26" s="202"/>
      <c r="B26" s="200"/>
      <c r="C26" s="183">
        <v>3030</v>
      </c>
      <c r="D26" s="187" t="s">
        <v>152</v>
      </c>
      <c r="E26" s="231">
        <f>pw!E87</f>
        <v>6100</v>
      </c>
    </row>
    <row r="27" spans="1:5" s="6" customFormat="1" ht="13.5" outlineLevel="2" thickBot="1">
      <c r="A27" s="202"/>
      <c r="B27" s="200"/>
      <c r="C27" s="183">
        <v>4210</v>
      </c>
      <c r="D27" s="187" t="s">
        <v>7</v>
      </c>
      <c r="E27" s="231">
        <f>pw!E88</f>
        <v>1500</v>
      </c>
    </row>
    <row r="28" spans="1:7" s="6" customFormat="1" ht="16.5" outlineLevel="2" thickBot="1">
      <c r="A28" s="190">
        <v>801</v>
      </c>
      <c r="B28" s="194"/>
      <c r="C28" s="182"/>
      <c r="D28" s="186" t="s">
        <v>59</v>
      </c>
      <c r="E28" s="229">
        <f>E29+E34+E36+E38+E42+E47+E49+E51+E53</f>
        <v>9058511</v>
      </c>
      <c r="F28" s="8"/>
      <c r="G28" s="8"/>
    </row>
    <row r="29" spans="1:6" s="6" customFormat="1" ht="12.75" outlineLevel="2">
      <c r="A29" s="201"/>
      <c r="B29" s="193">
        <v>80102</v>
      </c>
      <c r="C29" s="72"/>
      <c r="D29" s="151" t="s">
        <v>62</v>
      </c>
      <c r="E29" s="239">
        <f>SUM(E30:E31)</f>
        <v>62140</v>
      </c>
      <c r="F29" s="8"/>
    </row>
    <row r="30" spans="1:5" s="6" customFormat="1" ht="22.5" outlineLevel="2">
      <c r="A30" s="202"/>
      <c r="B30" s="200"/>
      <c r="C30" s="183">
        <v>2540</v>
      </c>
      <c r="D30" s="187" t="s">
        <v>61</v>
      </c>
      <c r="E30" s="231">
        <f>pw!E49</f>
        <v>57140</v>
      </c>
    </row>
    <row r="31" spans="1:5" ht="12.75" outlineLevel="1">
      <c r="A31" s="202"/>
      <c r="B31" s="200"/>
      <c r="C31" s="183">
        <v>6050</v>
      </c>
      <c r="D31" s="187" t="s">
        <v>35</v>
      </c>
      <c r="E31" s="231">
        <f>inwestycje!E183</f>
        <v>5000</v>
      </c>
    </row>
    <row r="32" spans="1:5" ht="12.75" hidden="1" outlineLevel="1">
      <c r="A32" s="202"/>
      <c r="B32" s="200"/>
      <c r="C32" s="183">
        <v>6060</v>
      </c>
      <c r="D32" s="187" t="s">
        <v>36</v>
      </c>
      <c r="E32" s="231"/>
    </row>
    <row r="33" spans="1:5" ht="12.75" hidden="1" outlineLevel="1">
      <c r="A33" s="202"/>
      <c r="B33" s="200"/>
      <c r="C33" s="183">
        <v>6800</v>
      </c>
      <c r="D33" s="187" t="s">
        <v>58</v>
      </c>
      <c r="E33" s="231"/>
    </row>
    <row r="34" spans="1:6" s="6" customFormat="1" ht="12.75" outlineLevel="2">
      <c r="A34" s="201"/>
      <c r="B34" s="193">
        <v>80111</v>
      </c>
      <c r="C34" s="72"/>
      <c r="D34" s="151" t="s">
        <v>64</v>
      </c>
      <c r="E34" s="274">
        <f>E35</f>
        <v>199921</v>
      </c>
      <c r="F34" s="8"/>
    </row>
    <row r="35" spans="1:5" s="6" customFormat="1" ht="22.5" outlineLevel="2">
      <c r="A35" s="202"/>
      <c r="B35" s="200"/>
      <c r="C35" s="183">
        <v>2540</v>
      </c>
      <c r="D35" s="187" t="s">
        <v>61</v>
      </c>
      <c r="E35" s="231">
        <f>pw!E51</f>
        <v>199921</v>
      </c>
    </row>
    <row r="36" spans="1:6" s="17" customFormat="1" ht="12.75">
      <c r="A36" s="65"/>
      <c r="B36" s="34">
        <v>80113</v>
      </c>
      <c r="C36" s="34"/>
      <c r="D36" s="240" t="s">
        <v>65</v>
      </c>
      <c r="E36" s="35">
        <f>E37</f>
        <v>0</v>
      </c>
      <c r="F36" s="105"/>
    </row>
    <row r="37" spans="1:5" s="6" customFormat="1" ht="12.75" outlineLevel="2">
      <c r="A37" s="202"/>
      <c r="B37" s="200"/>
      <c r="C37" s="183">
        <v>4300</v>
      </c>
      <c r="D37" s="187" t="s">
        <v>8</v>
      </c>
      <c r="E37" s="231">
        <f>pw!E53</f>
        <v>0</v>
      </c>
    </row>
    <row r="38" spans="1:6" s="6" customFormat="1" ht="12.75" outlineLevel="2">
      <c r="A38" s="201"/>
      <c r="B38" s="193">
        <v>80120</v>
      </c>
      <c r="C38" s="72"/>
      <c r="D38" s="151" t="s">
        <v>66</v>
      </c>
      <c r="E38" s="239">
        <f>SUM(E39:E41)</f>
        <v>2821789</v>
      </c>
      <c r="F38" s="8"/>
    </row>
    <row r="39" spans="1:5" s="6" customFormat="1" ht="22.5" outlineLevel="2">
      <c r="A39" s="202"/>
      <c r="B39" s="200"/>
      <c r="C39" s="183">
        <v>2540</v>
      </c>
      <c r="D39" s="187" t="s">
        <v>61</v>
      </c>
      <c r="E39" s="231">
        <f>pw!E55</f>
        <v>2681389</v>
      </c>
    </row>
    <row r="40" spans="1:5" s="6" customFormat="1" ht="12.75" outlineLevel="2">
      <c r="A40" s="202"/>
      <c r="B40" s="200"/>
      <c r="C40" s="183">
        <v>4810</v>
      </c>
      <c r="D40" s="187" t="s">
        <v>57</v>
      </c>
      <c r="E40" s="231">
        <f>inwestycje!E167</f>
        <v>30400</v>
      </c>
    </row>
    <row r="41" spans="1:5" s="6" customFormat="1" ht="12.75" outlineLevel="2">
      <c r="A41" s="202"/>
      <c r="B41" s="200"/>
      <c r="C41" s="183">
        <v>6050</v>
      </c>
      <c r="D41" s="187" t="s">
        <v>35</v>
      </c>
      <c r="E41" s="231">
        <f>inwestycje!E185</f>
        <v>110000</v>
      </c>
    </row>
    <row r="42" spans="1:6" s="6" customFormat="1" ht="12.75" outlineLevel="2">
      <c r="A42" s="201"/>
      <c r="B42" s="193">
        <v>80130</v>
      </c>
      <c r="C42" s="72"/>
      <c r="D42" s="151" t="s">
        <v>225</v>
      </c>
      <c r="E42" s="239">
        <f>E43</f>
        <v>2696634</v>
      </c>
      <c r="F42" s="8"/>
    </row>
    <row r="43" spans="1:5" s="6" customFormat="1" ht="22.5" outlineLevel="2">
      <c r="A43" s="202"/>
      <c r="B43" s="200"/>
      <c r="C43" s="183">
        <v>2540</v>
      </c>
      <c r="D43" s="187" t="s">
        <v>61</v>
      </c>
      <c r="E43" s="231">
        <f>pw!E57</f>
        <v>2696634</v>
      </c>
    </row>
    <row r="44" spans="1:5" s="6" customFormat="1" ht="13.5" hidden="1" outlineLevel="2" thickBot="1">
      <c r="A44" s="203"/>
      <c r="B44" s="209"/>
      <c r="C44" s="184">
        <v>6050</v>
      </c>
      <c r="D44" s="189" t="s">
        <v>35</v>
      </c>
      <c r="E44" s="235"/>
    </row>
    <row r="45" spans="1:5" s="6" customFormat="1" ht="12.75" hidden="1" outlineLevel="2">
      <c r="A45" s="206"/>
      <c r="B45" s="207"/>
      <c r="C45" s="208">
        <v>6060</v>
      </c>
      <c r="D45" s="499" t="s">
        <v>36</v>
      </c>
      <c r="E45" s="238"/>
    </row>
    <row r="46" spans="1:5" s="6" customFormat="1" ht="12.75" hidden="1" outlineLevel="2">
      <c r="A46" s="202"/>
      <c r="B46" s="200"/>
      <c r="C46" s="183">
        <v>6800</v>
      </c>
      <c r="D46" s="187" t="s">
        <v>58</v>
      </c>
      <c r="E46" s="231"/>
    </row>
    <row r="47" spans="1:6" s="6" customFormat="1" ht="12.75" outlineLevel="2">
      <c r="A47" s="201"/>
      <c r="B47" s="193">
        <v>80132</v>
      </c>
      <c r="C47" s="72"/>
      <c r="D47" s="151" t="s">
        <v>67</v>
      </c>
      <c r="E47" s="239">
        <f>E48</f>
        <v>69000</v>
      </c>
      <c r="F47" s="8"/>
    </row>
    <row r="48" spans="1:5" s="6" customFormat="1" ht="12.75" outlineLevel="2">
      <c r="A48" s="202"/>
      <c r="B48" s="200"/>
      <c r="C48" s="183">
        <v>4810</v>
      </c>
      <c r="D48" s="187" t="s">
        <v>57</v>
      </c>
      <c r="E48" s="231">
        <f>pw!E8</f>
        <v>69000</v>
      </c>
    </row>
    <row r="49" spans="1:6" s="6" customFormat="1" ht="12.75" outlineLevel="2">
      <c r="A49" s="201"/>
      <c r="B49" s="193">
        <v>80133</v>
      </c>
      <c r="C49" s="72"/>
      <c r="D49" s="151" t="s">
        <v>68</v>
      </c>
      <c r="E49" s="239">
        <f>E50</f>
        <v>1902035</v>
      </c>
      <c r="F49" s="8"/>
    </row>
    <row r="50" spans="1:5" s="6" customFormat="1" ht="22.5" outlineLevel="2">
      <c r="A50" s="202"/>
      <c r="B50" s="200"/>
      <c r="C50" s="183">
        <v>2540</v>
      </c>
      <c r="D50" s="187" t="s">
        <v>61</v>
      </c>
      <c r="E50" s="231">
        <f>pw!E59</f>
        <v>1902035</v>
      </c>
    </row>
    <row r="51" spans="1:6" s="6" customFormat="1" ht="12.75" outlineLevel="2">
      <c r="A51" s="201"/>
      <c r="B51" s="193">
        <v>80146</v>
      </c>
      <c r="C51" s="72"/>
      <c r="D51" s="151" t="s">
        <v>248</v>
      </c>
      <c r="E51" s="239">
        <f>E52</f>
        <v>0</v>
      </c>
      <c r="F51" s="8"/>
    </row>
    <row r="52" spans="1:5" s="17" customFormat="1" ht="15" customHeight="1">
      <c r="A52" s="33"/>
      <c r="B52" s="77"/>
      <c r="C52" s="183">
        <v>4300</v>
      </c>
      <c r="D52" s="187" t="s">
        <v>8</v>
      </c>
      <c r="E52" s="233">
        <f>pw!E61</f>
        <v>0</v>
      </c>
    </row>
    <row r="53" spans="1:6" s="6" customFormat="1" ht="12.75" outlineLevel="2">
      <c r="A53" s="201"/>
      <c r="B53" s="193">
        <v>80195</v>
      </c>
      <c r="C53" s="72"/>
      <c r="D53" s="151" t="s">
        <v>5</v>
      </c>
      <c r="E53" s="239">
        <f>E54</f>
        <v>1306992</v>
      </c>
      <c r="F53" s="8"/>
    </row>
    <row r="54" spans="1:5" s="6" customFormat="1" ht="13.5" outlineLevel="2" thickBot="1">
      <c r="A54" s="203"/>
      <c r="B54" s="199"/>
      <c r="C54" s="184">
        <v>4440</v>
      </c>
      <c r="D54" s="189" t="s">
        <v>29</v>
      </c>
      <c r="E54" s="527">
        <f>pw!E63</f>
        <v>1306992</v>
      </c>
    </row>
    <row r="55" spans="1:8" s="6" customFormat="1" ht="16.5" outlineLevel="2" thickBot="1">
      <c r="A55" s="190">
        <v>851</v>
      </c>
      <c r="B55" s="194"/>
      <c r="C55" s="182"/>
      <c r="D55" s="186" t="s">
        <v>71</v>
      </c>
      <c r="E55" s="229">
        <f>E56+E58</f>
        <v>4290651</v>
      </c>
      <c r="F55" s="8"/>
      <c r="G55" s="8"/>
      <c r="H55" s="8"/>
    </row>
    <row r="56" spans="1:5" s="6" customFormat="1" ht="12.75" outlineLevel="2">
      <c r="A56" s="201"/>
      <c r="B56" s="193">
        <v>85111</v>
      </c>
      <c r="C56" s="72"/>
      <c r="D56" s="151" t="s">
        <v>72</v>
      </c>
      <c r="E56" s="239">
        <f>E57</f>
        <v>4183607</v>
      </c>
    </row>
    <row r="57" spans="1:5" s="6" customFormat="1" ht="12.75" outlineLevel="2">
      <c r="A57" s="202"/>
      <c r="B57" s="200"/>
      <c r="C57" s="183">
        <v>6050</v>
      </c>
      <c r="D57" s="187" t="s">
        <v>35</v>
      </c>
      <c r="E57" s="231">
        <f>inwestycje!E171</f>
        <v>4183607</v>
      </c>
    </row>
    <row r="58" spans="1:6" s="6" customFormat="1" ht="12.75" outlineLevel="2">
      <c r="A58" s="201"/>
      <c r="B58" s="193">
        <v>85117</v>
      </c>
      <c r="C58" s="72"/>
      <c r="D58" s="151" t="s">
        <v>73</v>
      </c>
      <c r="E58" s="239">
        <f>E60+E59</f>
        <v>107044</v>
      </c>
      <c r="F58" s="8"/>
    </row>
    <row r="59" spans="1:5" s="6" customFormat="1" ht="22.5" outlineLevel="2">
      <c r="A59" s="202"/>
      <c r="B59" s="555"/>
      <c r="C59" s="183">
        <v>2560</v>
      </c>
      <c r="D59" s="187" t="s">
        <v>75</v>
      </c>
      <c r="E59" s="233">
        <v>43989</v>
      </c>
    </row>
    <row r="60" spans="1:5" s="6" customFormat="1" ht="34.5" outlineLevel="2" thickBot="1">
      <c r="A60" s="202"/>
      <c r="B60" s="517"/>
      <c r="C60" s="183">
        <v>6220</v>
      </c>
      <c r="D60" s="187" t="s">
        <v>126</v>
      </c>
      <c r="E60" s="233">
        <v>63055</v>
      </c>
    </row>
    <row r="61" spans="1:8" s="6" customFormat="1" ht="16.5" outlineLevel="2" thickBot="1">
      <c r="A61" s="190">
        <v>853</v>
      </c>
      <c r="B61" s="194"/>
      <c r="C61" s="182"/>
      <c r="D61" s="186" t="s">
        <v>80</v>
      </c>
      <c r="E61" s="229">
        <f>E62+E64+E66+E68+E70+E72</f>
        <v>4337338</v>
      </c>
      <c r="F61" s="8"/>
      <c r="G61" s="8"/>
      <c r="H61" s="8"/>
    </row>
    <row r="62" spans="1:5" s="6" customFormat="1" ht="12.75" outlineLevel="2">
      <c r="A62" s="201"/>
      <c r="B62" s="193">
        <v>85301</v>
      </c>
      <c r="C62" s="72"/>
      <c r="D62" s="151" t="s">
        <v>81</v>
      </c>
      <c r="E62" s="239">
        <f>E63</f>
        <v>825678</v>
      </c>
    </row>
    <row r="63" spans="1:5" s="6" customFormat="1" ht="22.5" outlineLevel="2">
      <c r="A63" s="202"/>
      <c r="B63" s="192"/>
      <c r="C63" s="183">
        <v>2580</v>
      </c>
      <c r="D63" s="187" t="s">
        <v>70</v>
      </c>
      <c r="E63" s="231">
        <f>pw!E38</f>
        <v>825678</v>
      </c>
    </row>
    <row r="64" spans="1:5" s="6" customFormat="1" ht="12.75" outlineLevel="2">
      <c r="A64" s="201"/>
      <c r="B64" s="193">
        <v>85302</v>
      </c>
      <c r="C64" s="72"/>
      <c r="D64" s="151" t="s">
        <v>82</v>
      </c>
      <c r="E64" s="274">
        <f>E65</f>
        <v>3220000</v>
      </c>
    </row>
    <row r="65" spans="1:5" ht="22.5" outlineLevel="1">
      <c r="A65" s="202"/>
      <c r="B65" s="192"/>
      <c r="C65" s="183">
        <v>2580</v>
      </c>
      <c r="D65" s="187" t="s">
        <v>70</v>
      </c>
      <c r="E65" s="231">
        <f>pw!E40</f>
        <v>3220000</v>
      </c>
    </row>
    <row r="66" spans="1:5" s="6" customFormat="1" ht="12.75" outlineLevel="2">
      <c r="A66" s="201"/>
      <c r="B66" s="193">
        <v>85326</v>
      </c>
      <c r="C66" s="72"/>
      <c r="D66" s="151" t="s">
        <v>84</v>
      </c>
      <c r="E66" s="274">
        <f>E67</f>
        <v>74680</v>
      </c>
    </row>
    <row r="67" spans="1:5" ht="22.5" outlineLevel="1">
      <c r="A67" s="202"/>
      <c r="B67" s="192"/>
      <c r="C67" s="183">
        <v>2580</v>
      </c>
      <c r="D67" s="187" t="s">
        <v>70</v>
      </c>
      <c r="E67" s="231">
        <f>pw!E42</f>
        <v>74680</v>
      </c>
    </row>
    <row r="68" spans="1:6" s="17" customFormat="1" ht="12.75">
      <c r="A68" s="201"/>
      <c r="B68" s="34">
        <v>85333</v>
      </c>
      <c r="C68" s="110"/>
      <c r="D68" s="247" t="s">
        <v>239</v>
      </c>
      <c r="E68" s="35">
        <f>E69</f>
        <v>50000</v>
      </c>
      <c r="F68" s="105"/>
    </row>
    <row r="69" spans="1:5" s="6" customFormat="1" ht="33.75" outlineLevel="2">
      <c r="A69" s="202"/>
      <c r="B69" s="192"/>
      <c r="C69" s="183">
        <v>2320</v>
      </c>
      <c r="D69" s="187" t="s">
        <v>256</v>
      </c>
      <c r="E69" s="231">
        <f>pw!E92</f>
        <v>50000</v>
      </c>
    </row>
    <row r="70" spans="1:6" s="6" customFormat="1" ht="12.75" outlineLevel="2">
      <c r="A70" s="201"/>
      <c r="B70" s="193">
        <v>85334</v>
      </c>
      <c r="C70" s="72"/>
      <c r="D70" s="151" t="s">
        <v>253</v>
      </c>
      <c r="E70" s="274">
        <f>E71</f>
        <v>50000</v>
      </c>
      <c r="F70" s="8"/>
    </row>
    <row r="71" spans="1:5" s="6" customFormat="1" ht="12.75" outlineLevel="2">
      <c r="A71" s="202"/>
      <c r="B71" s="192"/>
      <c r="C71" s="183">
        <v>3110</v>
      </c>
      <c r="D71" s="187" t="s">
        <v>45</v>
      </c>
      <c r="E71" s="231">
        <f>pw!E113</f>
        <v>50000</v>
      </c>
    </row>
    <row r="72" spans="1:6" s="6" customFormat="1" ht="12.75" outlineLevel="2">
      <c r="A72" s="201"/>
      <c r="B72" s="193">
        <v>85395</v>
      </c>
      <c r="C72" s="72"/>
      <c r="D72" s="151" t="s">
        <v>5</v>
      </c>
      <c r="E72" s="274">
        <f>E73+E74</f>
        <v>116980</v>
      </c>
      <c r="F72" s="8"/>
    </row>
    <row r="73" spans="1:5" ht="22.5" outlineLevel="1">
      <c r="A73" s="202"/>
      <c r="B73" s="200"/>
      <c r="C73" s="183">
        <v>2580</v>
      </c>
      <c r="D73" s="187" t="s">
        <v>70</v>
      </c>
      <c r="E73" s="231">
        <f>pw!E44</f>
        <v>98500</v>
      </c>
    </row>
    <row r="74" spans="1:5" ht="13.5" outlineLevel="1" thickBot="1">
      <c r="A74" s="202"/>
      <c r="B74" s="200"/>
      <c r="C74" s="183">
        <v>4440</v>
      </c>
      <c r="D74" s="187" t="s">
        <v>29</v>
      </c>
      <c r="E74" s="231">
        <f>pw!E45</f>
        <v>18480</v>
      </c>
    </row>
    <row r="75" spans="1:7" s="6" customFormat="1" ht="16.5" outlineLevel="2" thickBot="1">
      <c r="A75" s="190">
        <v>854</v>
      </c>
      <c r="B75" s="194"/>
      <c r="C75" s="182"/>
      <c r="D75" s="186" t="s">
        <v>85</v>
      </c>
      <c r="E75" s="229">
        <f>E76+E78</f>
        <v>1744399</v>
      </c>
      <c r="F75" s="8"/>
      <c r="G75" s="8"/>
    </row>
    <row r="76" spans="1:5" s="6" customFormat="1" ht="12.75" outlineLevel="2">
      <c r="A76" s="201"/>
      <c r="B76" s="193">
        <v>85403</v>
      </c>
      <c r="C76" s="72"/>
      <c r="D76" s="151" t="s">
        <v>87</v>
      </c>
      <c r="E76" s="239">
        <f>E77</f>
        <v>1268506</v>
      </c>
    </row>
    <row r="77" spans="1:5" ht="22.5" outlineLevel="1">
      <c r="A77" s="202"/>
      <c r="B77" s="200"/>
      <c r="C77" s="183">
        <v>2540</v>
      </c>
      <c r="D77" s="187" t="s">
        <v>61</v>
      </c>
      <c r="E77" s="231">
        <f>pw!E66</f>
        <v>1268506</v>
      </c>
    </row>
    <row r="78" spans="1:5" ht="12.75" outlineLevel="4">
      <c r="A78" s="201"/>
      <c r="B78" s="193">
        <v>85410</v>
      </c>
      <c r="C78" s="72"/>
      <c r="D78" s="151" t="s">
        <v>91</v>
      </c>
      <c r="E78" s="239">
        <f>E79</f>
        <v>475893</v>
      </c>
    </row>
    <row r="79" spans="1:5" ht="23.25" outlineLevel="1" thickBot="1">
      <c r="A79" s="202"/>
      <c r="B79" s="200"/>
      <c r="C79" s="183">
        <v>2540</v>
      </c>
      <c r="D79" s="187" t="s">
        <v>61</v>
      </c>
      <c r="E79" s="231">
        <f>pw!E68</f>
        <v>475893</v>
      </c>
    </row>
    <row r="80" spans="1:5" ht="27" customHeight="1" thickBot="1">
      <c r="A80" s="190">
        <v>900</v>
      </c>
      <c r="B80" s="194"/>
      <c r="C80" s="182"/>
      <c r="D80" s="186" t="s">
        <v>94</v>
      </c>
      <c r="E80" s="229">
        <f>E81+E83</f>
        <v>287000</v>
      </c>
    </row>
    <row r="81" spans="1:5" ht="12.75">
      <c r="A81" s="201"/>
      <c r="B81" s="193">
        <v>90001</v>
      </c>
      <c r="C81" s="72"/>
      <c r="D81" s="151" t="s">
        <v>95</v>
      </c>
      <c r="E81" s="239">
        <f>E82</f>
        <v>260000</v>
      </c>
    </row>
    <row r="82" spans="1:5" ht="12.75" outlineLevel="1">
      <c r="A82" s="202"/>
      <c r="B82" s="200"/>
      <c r="C82" s="183">
        <v>4300</v>
      </c>
      <c r="D82" s="187" t="s">
        <v>8</v>
      </c>
      <c r="E82" s="231">
        <f>pw!E96</f>
        <v>260000</v>
      </c>
    </row>
    <row r="83" spans="1:5" ht="12.75" outlineLevel="4">
      <c r="A83" s="201"/>
      <c r="B83" s="193">
        <v>90095</v>
      </c>
      <c r="C83" s="72"/>
      <c r="D83" s="151" t="s">
        <v>5</v>
      </c>
      <c r="E83" s="239">
        <f>E84+E85</f>
        <v>27000</v>
      </c>
    </row>
    <row r="84" spans="1:5" ht="12.75" outlineLevel="1">
      <c r="A84" s="202"/>
      <c r="B84" s="200"/>
      <c r="C84" s="183">
        <v>4300</v>
      </c>
      <c r="D84" s="187" t="s">
        <v>8</v>
      </c>
      <c r="E84" s="231">
        <f>pw!E98</f>
        <v>20000</v>
      </c>
    </row>
    <row r="85" spans="1:5" ht="13.5" outlineLevel="1" thickBot="1">
      <c r="A85" s="202"/>
      <c r="B85" s="200"/>
      <c r="C85" s="183">
        <v>4610</v>
      </c>
      <c r="D85" s="187" t="s">
        <v>237</v>
      </c>
      <c r="E85" s="231">
        <v>7000</v>
      </c>
    </row>
    <row r="86" spans="1:5" ht="16.5" thickBot="1">
      <c r="A86" s="190">
        <v>921</v>
      </c>
      <c r="B86" s="194"/>
      <c r="C86" s="182"/>
      <c r="D86" s="186" t="s">
        <v>99</v>
      </c>
      <c r="E86" s="229">
        <f>E87+E90+E93+E96</f>
        <v>14197000</v>
      </c>
    </row>
    <row r="87" spans="1:5" s="17" customFormat="1" ht="12.75">
      <c r="A87" s="290"/>
      <c r="B87" s="155">
        <v>92106</v>
      </c>
      <c r="C87" s="30"/>
      <c r="D87" s="295" t="s">
        <v>254</v>
      </c>
      <c r="E87" s="291">
        <f>SUM(E88:E89)</f>
        <v>8057000</v>
      </c>
    </row>
    <row r="88" spans="1:5" ht="12.75">
      <c r="A88" s="202"/>
      <c r="B88" s="200"/>
      <c r="C88" s="183">
        <v>2550</v>
      </c>
      <c r="D88" s="187" t="s">
        <v>104</v>
      </c>
      <c r="E88" s="231">
        <f>pw!E72+inwestycje!E189</f>
        <v>7872000</v>
      </c>
    </row>
    <row r="89" spans="1:5" ht="33.75">
      <c r="A89" s="202"/>
      <c r="B89" s="200"/>
      <c r="C89" s="183">
        <v>6220</v>
      </c>
      <c r="D89" s="187" t="s">
        <v>126</v>
      </c>
      <c r="E89" s="231">
        <f>inwestycje!E190</f>
        <v>185000</v>
      </c>
    </row>
    <row r="90" spans="1:5" ht="12.75">
      <c r="A90" s="294"/>
      <c r="B90" s="34">
        <v>92107</v>
      </c>
      <c r="C90" s="107"/>
      <c r="D90" s="259" t="s">
        <v>255</v>
      </c>
      <c r="E90" s="35">
        <f>SUM(E91:E92)</f>
        <v>4630000</v>
      </c>
    </row>
    <row r="91" spans="1:5" ht="12.75">
      <c r="A91" s="202"/>
      <c r="B91" s="200"/>
      <c r="C91" s="183">
        <v>2550</v>
      </c>
      <c r="D91" s="187" t="s">
        <v>104</v>
      </c>
      <c r="E91" s="231">
        <f>pw!E74+inwestycje!E192</f>
        <v>4584482</v>
      </c>
    </row>
    <row r="92" spans="1:5" ht="33.75">
      <c r="A92" s="202"/>
      <c r="B92" s="200"/>
      <c r="C92" s="183">
        <v>6220</v>
      </c>
      <c r="D92" s="187" t="s">
        <v>126</v>
      </c>
      <c r="E92" s="231">
        <f>inwestycje!E193</f>
        <v>45518</v>
      </c>
    </row>
    <row r="93" spans="1:5" ht="12.75">
      <c r="A93" s="294"/>
      <c r="B93" s="34">
        <v>92113</v>
      </c>
      <c r="C93" s="107"/>
      <c r="D93" s="259" t="s">
        <v>243</v>
      </c>
      <c r="E93" s="35">
        <f>SUM(E94:E95)</f>
        <v>1360000</v>
      </c>
    </row>
    <row r="94" spans="1:5" ht="12.75">
      <c r="A94" s="202"/>
      <c r="B94" s="200"/>
      <c r="C94" s="183">
        <v>2550</v>
      </c>
      <c r="D94" s="187" t="s">
        <v>104</v>
      </c>
      <c r="E94" s="231">
        <f>pw!E76</f>
        <v>1260000</v>
      </c>
    </row>
    <row r="95" spans="1:5" ht="33.75">
      <c r="A95" s="202"/>
      <c r="B95" s="200"/>
      <c r="C95" s="183">
        <v>6220</v>
      </c>
      <c r="D95" s="187" t="s">
        <v>126</v>
      </c>
      <c r="E95" s="231">
        <f>inwestycje!E195</f>
        <v>100000</v>
      </c>
    </row>
    <row r="96" spans="1:5" ht="12.75">
      <c r="A96" s="294"/>
      <c r="B96" s="34">
        <v>92114</v>
      </c>
      <c r="C96" s="107"/>
      <c r="D96" s="259" t="s">
        <v>405</v>
      </c>
      <c r="E96" s="35">
        <f>E97</f>
        <v>150000</v>
      </c>
    </row>
    <row r="97" spans="1:5" s="17" customFormat="1" ht="13.5" thickBot="1">
      <c r="A97" s="112"/>
      <c r="B97" s="93"/>
      <c r="C97" s="114">
        <v>2550</v>
      </c>
      <c r="D97" s="385" t="s">
        <v>104</v>
      </c>
      <c r="E97" s="44">
        <v>150000</v>
      </c>
    </row>
  </sheetData>
  <printOptions/>
  <pageMargins left="0.95" right="0.38" top="0.32" bottom="0.5" header="0.32" footer="0.5118110236220472"/>
  <pageSetup horizontalDpi="300" verticalDpi="300" orientation="portrait" paperSize="9" r:id="rId1"/>
  <rowBreaks count="1" manualBreakCount="1">
    <brk id="5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2" sqref="A2"/>
    </sheetView>
  </sheetViews>
  <sheetFormatPr defaultColWidth="9.140625" defaultRowHeight="12.75" outlineLevelRow="4"/>
  <cols>
    <col min="1" max="1" width="5.421875" style="9" customWidth="1"/>
    <col min="2" max="2" width="6.00390625" style="9" customWidth="1"/>
    <col min="3" max="3" width="6.00390625" style="9" bestFit="1" customWidth="1"/>
    <col min="4" max="4" width="50.7109375" style="10" customWidth="1"/>
    <col min="5" max="5" width="20.28125" style="8" customWidth="1"/>
    <col min="6" max="6" width="16.57421875" style="8" customWidth="1"/>
    <col min="7" max="16384" width="9.140625" style="3" customWidth="1"/>
  </cols>
  <sheetData>
    <row r="1" ht="5.25" customHeight="1" outlineLevel="4"/>
    <row r="2" spans="2:6" ht="84.75" customHeight="1" outlineLevel="4" thickBot="1">
      <c r="B2" s="576" t="s">
        <v>260</v>
      </c>
      <c r="C2" s="576"/>
      <c r="D2" s="576"/>
      <c r="E2" s="18" t="s">
        <v>410</v>
      </c>
      <c r="F2" s="18"/>
    </row>
    <row r="3" spans="5:6" ht="12" customHeight="1" outlineLevel="4" thickBot="1">
      <c r="E3" s="426">
        <f>E5+E18+E23</f>
        <v>1661109.69</v>
      </c>
      <c r="F3" s="550">
        <f>pz!E2+inwestycje!E207</f>
        <v>1661109.69</v>
      </c>
    </row>
    <row r="4" spans="1:6" ht="12.75" customHeight="1" thickBot="1">
      <c r="A4" s="11"/>
      <c r="B4" s="11"/>
      <c r="C4" s="11"/>
      <c r="D4" s="12"/>
      <c r="E4" s="13"/>
      <c r="F4" s="3"/>
    </row>
    <row r="5" spans="1:6" ht="14.25" customHeight="1" thickBot="1">
      <c r="A5" s="7">
        <v>750</v>
      </c>
      <c r="B5" s="182"/>
      <c r="C5" s="182"/>
      <c r="D5" s="186" t="s">
        <v>22</v>
      </c>
      <c r="E5" s="185">
        <f>E6+E12</f>
        <v>1153050</v>
      </c>
      <c r="F5" s="3"/>
    </row>
    <row r="6" spans="1:6" ht="14.25" customHeight="1" outlineLevel="1">
      <c r="A6" s="196"/>
      <c r="B6" s="191">
        <v>75011</v>
      </c>
      <c r="C6" s="191"/>
      <c r="D6" s="151" t="s">
        <v>23</v>
      </c>
      <c r="E6" s="85">
        <f>SUM(E7:E11)</f>
        <v>965500</v>
      </c>
      <c r="F6" s="3"/>
    </row>
    <row r="7" spans="1:6" ht="12.75">
      <c r="A7" s="202"/>
      <c r="B7" s="200"/>
      <c r="C7" s="183">
        <v>4010</v>
      </c>
      <c r="D7" s="187" t="s">
        <v>24</v>
      </c>
      <c r="E7" s="231">
        <f>pz!E8</f>
        <v>712820</v>
      </c>
      <c r="F7" s="224"/>
    </row>
    <row r="8" spans="1:6" ht="12.75">
      <c r="A8" s="202"/>
      <c r="B8" s="200"/>
      <c r="C8" s="183">
        <v>4110</v>
      </c>
      <c r="D8" s="187" t="s">
        <v>25</v>
      </c>
      <c r="E8" s="231">
        <f>pz!E9</f>
        <v>127452</v>
      </c>
      <c r="F8" s="224"/>
    </row>
    <row r="9" spans="1:6" ht="12.75">
      <c r="A9" s="202"/>
      <c r="B9" s="200"/>
      <c r="C9" s="183">
        <v>4120</v>
      </c>
      <c r="D9" s="187" t="s">
        <v>26</v>
      </c>
      <c r="E9" s="231">
        <f>pz!E10</f>
        <v>17464</v>
      </c>
      <c r="F9" s="224"/>
    </row>
    <row r="10" spans="1:6" ht="12.75">
      <c r="A10" s="202"/>
      <c r="B10" s="200"/>
      <c r="C10" s="183">
        <v>4300</v>
      </c>
      <c r="D10" s="187" t="s">
        <v>8</v>
      </c>
      <c r="E10" s="231">
        <f>pz!E11</f>
        <v>90715</v>
      </c>
      <c r="F10" s="224"/>
    </row>
    <row r="11" spans="1:6" ht="12.75">
      <c r="A11" s="202"/>
      <c r="B11" s="200"/>
      <c r="C11" s="183">
        <v>4440</v>
      </c>
      <c r="D11" s="187" t="s">
        <v>29</v>
      </c>
      <c r="E11" s="231">
        <f>pz!E12</f>
        <v>17049</v>
      </c>
      <c r="F11" s="224"/>
    </row>
    <row r="12" spans="1:6" ht="14.25" customHeight="1" outlineLevel="1">
      <c r="A12" s="196"/>
      <c r="B12" s="193">
        <v>75045</v>
      </c>
      <c r="C12" s="193"/>
      <c r="D12" s="151" t="s">
        <v>37</v>
      </c>
      <c r="E12" s="85">
        <f>SUM(E13:E17)</f>
        <v>187550</v>
      </c>
      <c r="F12" s="3"/>
    </row>
    <row r="13" spans="1:6" ht="12.75">
      <c r="A13" s="202"/>
      <c r="B13" s="200"/>
      <c r="C13" s="183">
        <v>4110</v>
      </c>
      <c r="D13" s="187" t="s">
        <v>25</v>
      </c>
      <c r="E13" s="231">
        <f>pz!E26</f>
        <v>5161</v>
      </c>
      <c r="F13" s="224"/>
    </row>
    <row r="14" spans="1:6" ht="12.75">
      <c r="A14" s="202"/>
      <c r="B14" s="200"/>
      <c r="C14" s="183">
        <v>4120</v>
      </c>
      <c r="D14" s="187" t="s">
        <v>26</v>
      </c>
      <c r="E14" s="231">
        <f>pz!E27</f>
        <v>778</v>
      </c>
      <c r="F14" s="224"/>
    </row>
    <row r="15" spans="1:6" ht="12.75">
      <c r="A15" s="202"/>
      <c r="B15" s="200"/>
      <c r="C15" s="183">
        <v>4210</v>
      </c>
      <c r="D15" s="187" t="s">
        <v>7</v>
      </c>
      <c r="E15" s="231">
        <f>pz!E28</f>
        <v>1091</v>
      </c>
      <c r="F15" s="224"/>
    </row>
    <row r="16" spans="1:6" ht="12.75">
      <c r="A16" s="202"/>
      <c r="B16" s="200"/>
      <c r="C16" s="183">
        <v>4260</v>
      </c>
      <c r="D16" s="187" t="s">
        <v>27</v>
      </c>
      <c r="E16" s="231">
        <f>pz!E29</f>
        <v>900</v>
      </c>
      <c r="F16" s="224"/>
    </row>
    <row r="17" spans="1:6" ht="13.5" thickBot="1">
      <c r="A17" s="202"/>
      <c r="B17" s="200"/>
      <c r="C17" s="183">
        <v>4300</v>
      </c>
      <c r="D17" s="187" t="s">
        <v>8</v>
      </c>
      <c r="E17" s="231">
        <f>pz!E30</f>
        <v>179620</v>
      </c>
      <c r="F17" s="224"/>
    </row>
    <row r="18" spans="1:6" ht="14.25" customHeight="1" thickBot="1">
      <c r="A18" s="7">
        <v>801</v>
      </c>
      <c r="B18" s="182"/>
      <c r="C18" s="182"/>
      <c r="D18" s="186" t="s">
        <v>59</v>
      </c>
      <c r="E18" s="425">
        <f>E19</f>
        <v>118.69</v>
      </c>
      <c r="F18" s="3"/>
    </row>
    <row r="19" spans="1:6" ht="14.25" customHeight="1" outlineLevel="1">
      <c r="A19" s="196"/>
      <c r="B19" s="191">
        <v>80132</v>
      </c>
      <c r="C19" s="191"/>
      <c r="D19" s="151" t="s">
        <v>67</v>
      </c>
      <c r="E19" s="423">
        <f>SUM(E20:E22)</f>
        <v>118.69</v>
      </c>
      <c r="F19" s="3"/>
    </row>
    <row r="20" spans="1:6" ht="12.75">
      <c r="A20" s="202"/>
      <c r="B20" s="200"/>
      <c r="C20" s="183">
        <v>4110</v>
      </c>
      <c r="D20" s="187" t="s">
        <v>25</v>
      </c>
      <c r="E20" s="424">
        <f>pz!E20</f>
        <v>11.969999999999999</v>
      </c>
      <c r="F20" s="224"/>
    </row>
    <row r="21" spans="1:6" ht="12.75">
      <c r="A21" s="202"/>
      <c r="B21" s="200"/>
      <c r="C21" s="183">
        <v>4120</v>
      </c>
      <c r="D21" s="187" t="s">
        <v>26</v>
      </c>
      <c r="E21" s="424">
        <f>pz!E21</f>
        <v>1.72</v>
      </c>
      <c r="F21" s="224"/>
    </row>
    <row r="22" spans="1:6" ht="13.5" thickBot="1">
      <c r="A22" s="202"/>
      <c r="B22" s="200"/>
      <c r="C22" s="183">
        <v>4300</v>
      </c>
      <c r="D22" s="187" t="s">
        <v>8</v>
      </c>
      <c r="E22" s="424">
        <f>pz!E22</f>
        <v>105</v>
      </c>
      <c r="F22" s="224"/>
    </row>
    <row r="23" spans="1:6" ht="14.25" customHeight="1" thickBot="1">
      <c r="A23" s="190">
        <v>853</v>
      </c>
      <c r="B23" s="194"/>
      <c r="C23" s="194"/>
      <c r="D23" s="186" t="s">
        <v>80</v>
      </c>
      <c r="E23" s="185">
        <f>E24+E27</f>
        <v>507941</v>
      </c>
      <c r="F23" s="3"/>
    </row>
    <row r="24" spans="1:6" ht="14.25" customHeight="1" outlineLevel="1">
      <c r="A24" s="196"/>
      <c r="B24" s="195">
        <v>85303</v>
      </c>
      <c r="C24" s="195"/>
      <c r="D24" s="188" t="s">
        <v>83</v>
      </c>
      <c r="E24" s="84">
        <f>SUM(E25:E26)</f>
        <v>428200</v>
      </c>
      <c r="F24" s="3"/>
    </row>
    <row r="25" spans="1:6" ht="22.5">
      <c r="A25" s="202"/>
      <c r="B25" s="200"/>
      <c r="C25" s="183">
        <v>2820</v>
      </c>
      <c r="D25" s="187" t="s">
        <v>38</v>
      </c>
      <c r="E25" s="231">
        <f>pz!E16</f>
        <v>376200</v>
      </c>
      <c r="F25" s="224"/>
    </row>
    <row r="26" spans="1:6" ht="12.75">
      <c r="A26" s="202"/>
      <c r="B26" s="200"/>
      <c r="C26" s="183">
        <v>6060</v>
      </c>
      <c r="D26" s="187" t="s">
        <v>36</v>
      </c>
      <c r="E26" s="231">
        <f>inwestycje!E210</f>
        <v>52000</v>
      </c>
      <c r="F26" s="224"/>
    </row>
    <row r="27" spans="1:6" ht="14.25" customHeight="1" outlineLevel="1">
      <c r="A27" s="196"/>
      <c r="B27" s="193">
        <v>85334</v>
      </c>
      <c r="C27" s="193"/>
      <c r="D27" s="151" t="s">
        <v>253</v>
      </c>
      <c r="E27" s="85">
        <f>SUM(E28:E28)</f>
        <v>79741</v>
      </c>
      <c r="F27" s="3"/>
    </row>
    <row r="28" spans="1:6" ht="13.5" thickBot="1">
      <c r="A28" s="203"/>
      <c r="B28" s="209"/>
      <c r="C28" s="184">
        <v>3110</v>
      </c>
      <c r="D28" s="189" t="s">
        <v>45</v>
      </c>
      <c r="E28" s="235">
        <f>30089+49652</f>
        <v>79741</v>
      </c>
      <c r="F28" s="224"/>
    </row>
    <row r="29" ht="12.75">
      <c r="F29" s="17"/>
    </row>
    <row r="30" ht="12.75">
      <c r="F30" s="17"/>
    </row>
    <row r="31" spans="3:5" ht="12.75">
      <c r="C31" s="3"/>
      <c r="D31" s="3"/>
      <c r="E31" s="3"/>
    </row>
  </sheetData>
  <mergeCells count="1">
    <mergeCell ref="B2:D2"/>
  </mergeCells>
  <printOptions/>
  <pageMargins left="0.91" right="0.36" top="0.59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workbookViewId="0" topLeftCell="A1">
      <selection activeCell="A68" sqref="A68"/>
    </sheetView>
  </sheetViews>
  <sheetFormatPr defaultColWidth="9.140625" defaultRowHeight="12.75"/>
  <cols>
    <col min="1" max="2" width="6.57421875" style="446" customWidth="1"/>
    <col min="3" max="3" width="5.28125" style="447" customWidth="1"/>
    <col min="4" max="4" width="50.7109375" style="447" customWidth="1"/>
    <col min="5" max="5" width="20.57421875" style="475" customWidth="1"/>
    <col min="6" max="6" width="18.57421875" style="445" customWidth="1"/>
    <col min="7" max="7" width="8.00390625" style="445" customWidth="1"/>
    <col min="8" max="9" width="9.140625" style="445" customWidth="1"/>
    <col min="10" max="10" width="11.421875" style="445" customWidth="1"/>
    <col min="11" max="11" width="0.13671875" style="445" customWidth="1"/>
    <col min="12" max="14" width="9.140625" style="445" customWidth="1"/>
    <col min="15" max="15" width="8.140625" style="445" customWidth="1"/>
    <col min="16" max="16" width="25.140625" style="445" customWidth="1"/>
    <col min="17" max="17" width="16.28125" style="445" customWidth="1"/>
    <col min="18" max="20" width="9.140625" style="445" customWidth="1"/>
    <col min="21" max="21" width="7.8515625" style="445" customWidth="1"/>
    <col min="22" max="22" width="8.00390625" style="445" customWidth="1"/>
    <col min="23" max="23" width="7.421875" style="445" customWidth="1"/>
    <col min="24" max="24" width="12.421875" style="445" customWidth="1"/>
    <col min="25" max="25" width="16.421875" style="445" customWidth="1"/>
    <col min="26" max="26" width="10.28125" style="445" customWidth="1"/>
    <col min="27" max="27" width="15.28125" style="445" customWidth="1"/>
    <col min="28" max="28" width="12.57421875" style="445" customWidth="1"/>
    <col min="29" max="29" width="16.8515625" style="445" customWidth="1"/>
    <col min="30" max="16384" width="9.140625" style="445" customWidth="1"/>
  </cols>
  <sheetData>
    <row r="1" spans="1:5" ht="90">
      <c r="A1" s="443"/>
      <c r="B1" s="443"/>
      <c r="C1" s="578" t="s">
        <v>138</v>
      </c>
      <c r="D1" s="578"/>
      <c r="E1" s="444" t="s">
        <v>408</v>
      </c>
    </row>
    <row r="2" ht="4.5" customHeight="1" thickBot="1">
      <c r="E2" s="448"/>
    </row>
    <row r="3" spans="5:26" ht="13.5" hidden="1" thickBot="1">
      <c r="E3" s="449" t="s">
        <v>139</v>
      </c>
      <c r="F3" s="577"/>
      <c r="G3" s="577"/>
      <c r="H3" s="577"/>
      <c r="I3" s="577"/>
      <c r="J3" s="577"/>
      <c r="K3" s="577"/>
      <c r="O3" s="171"/>
      <c r="P3" s="171"/>
      <c r="Q3" s="171"/>
      <c r="R3" s="171"/>
      <c r="Y3" s="577"/>
      <c r="Z3" s="577"/>
    </row>
    <row r="4" spans="5:26" ht="13.5" thickBot="1">
      <c r="E4" s="450">
        <f>E9+E12+E20+E24+E34+E38+E50+E55+E77+E94+E109+E47</f>
        <v>3512947</v>
      </c>
      <c r="F4" s="171"/>
      <c r="G4" s="171"/>
      <c r="H4" s="171"/>
      <c r="I4" s="171"/>
      <c r="J4" s="171"/>
      <c r="K4" s="171"/>
      <c r="L4" s="451"/>
      <c r="O4" s="171"/>
      <c r="P4" s="171"/>
      <c r="Q4" s="171"/>
      <c r="R4" s="171"/>
      <c r="Y4" s="171"/>
      <c r="Z4" s="171"/>
    </row>
    <row r="5" spans="5:26" ht="6" customHeight="1" thickBot="1">
      <c r="E5" s="452"/>
      <c r="F5" s="171"/>
      <c r="G5" s="171"/>
      <c r="H5" s="171"/>
      <c r="I5" s="171"/>
      <c r="J5" s="171"/>
      <c r="K5" s="171"/>
      <c r="O5" s="171"/>
      <c r="P5" s="171"/>
      <c r="Q5" s="171"/>
      <c r="R5" s="171"/>
      <c r="Y5" s="171"/>
      <c r="Z5" s="171"/>
    </row>
    <row r="6" spans="1:29" ht="13.5" hidden="1" thickBot="1">
      <c r="A6" s="172" t="s">
        <v>116</v>
      </c>
      <c r="B6" s="172" t="s">
        <v>116</v>
      </c>
      <c r="C6" s="172" t="s">
        <v>117</v>
      </c>
      <c r="D6" s="172" t="s">
        <v>140</v>
      </c>
      <c r="E6" s="453"/>
      <c r="F6" s="171"/>
      <c r="G6" s="171"/>
      <c r="H6" s="171"/>
      <c r="I6" s="171"/>
      <c r="J6" s="171"/>
      <c r="K6" s="171"/>
      <c r="O6" s="443"/>
      <c r="Q6" s="454"/>
      <c r="R6" s="455"/>
      <c r="U6" s="171"/>
      <c r="V6" s="171"/>
      <c r="W6" s="171"/>
      <c r="X6" s="171"/>
      <c r="Y6" s="171"/>
      <c r="Z6" s="171"/>
      <c r="AA6" s="171"/>
      <c r="AB6" s="171"/>
      <c r="AC6" s="171"/>
    </row>
    <row r="7" spans="1:29" ht="13.5" hidden="1" thickBot="1">
      <c r="A7" s="173">
        <v>2</v>
      </c>
      <c r="B7" s="173">
        <v>2</v>
      </c>
      <c r="C7" s="173">
        <v>3</v>
      </c>
      <c r="D7" s="173">
        <v>4</v>
      </c>
      <c r="E7" s="456"/>
      <c r="F7" s="174"/>
      <c r="G7" s="174"/>
      <c r="H7" s="174"/>
      <c r="I7" s="174"/>
      <c r="J7" s="174"/>
      <c r="K7" s="174"/>
      <c r="O7" s="443"/>
      <c r="Q7" s="454"/>
      <c r="R7" s="455"/>
      <c r="U7" s="174"/>
      <c r="V7" s="174"/>
      <c r="W7" s="174"/>
      <c r="X7" s="174"/>
      <c r="Y7" s="174"/>
      <c r="Z7" s="174"/>
      <c r="AA7" s="174"/>
      <c r="AB7" s="174"/>
      <c r="AC7" s="174"/>
    </row>
    <row r="8" spans="4:29" ht="13.5" hidden="1" thickBot="1">
      <c r="D8" s="172" t="s">
        <v>141</v>
      </c>
      <c r="E8" s="457"/>
      <c r="F8" s="171"/>
      <c r="J8" s="83"/>
      <c r="O8" s="443"/>
      <c r="Q8" s="454"/>
      <c r="R8" s="455"/>
      <c r="X8" s="83"/>
      <c r="Y8" s="83"/>
      <c r="Z8" s="83"/>
      <c r="AA8" s="83"/>
      <c r="AB8" s="83"/>
      <c r="AC8" s="83"/>
    </row>
    <row r="9" spans="1:29" ht="13.5" thickBot="1">
      <c r="A9" s="180" t="s">
        <v>111</v>
      </c>
      <c r="B9" s="210"/>
      <c r="C9" s="168"/>
      <c r="D9" s="169" t="s">
        <v>144</v>
      </c>
      <c r="E9" s="458">
        <f>E10</f>
        <v>26460</v>
      </c>
      <c r="F9" s="175"/>
      <c r="J9" s="83"/>
      <c r="O9" s="443"/>
      <c r="Q9" s="454"/>
      <c r="R9" s="455"/>
      <c r="U9" s="171"/>
      <c r="V9" s="176"/>
      <c r="W9" s="176"/>
      <c r="X9" s="83"/>
      <c r="Y9" s="83"/>
      <c r="Z9" s="83"/>
      <c r="AA9" s="83"/>
      <c r="AB9" s="83"/>
      <c r="AC9" s="83"/>
    </row>
    <row r="10" spans="1:29" s="177" customFormat="1" ht="12.75">
      <c r="A10" s="212"/>
      <c r="B10" s="155" t="s">
        <v>114</v>
      </c>
      <c r="C10" s="71"/>
      <c r="D10" s="181" t="s">
        <v>145</v>
      </c>
      <c r="E10" s="459">
        <f>SUM(E11:E11)</f>
        <v>26460</v>
      </c>
      <c r="G10" s="170"/>
      <c r="H10" s="170"/>
      <c r="I10" s="170"/>
      <c r="J10" s="86"/>
      <c r="K10" s="178"/>
      <c r="O10" s="170"/>
      <c r="Q10" s="86"/>
      <c r="R10" s="179"/>
      <c r="V10" s="170"/>
      <c r="X10" s="86"/>
      <c r="Y10" s="86"/>
      <c r="Z10" s="86"/>
      <c r="AA10" s="86"/>
      <c r="AB10" s="86"/>
      <c r="AC10" s="86"/>
    </row>
    <row r="11" spans="1:29" ht="13.5" thickBot="1">
      <c r="A11" s="460"/>
      <c r="B11" s="461"/>
      <c r="C11" s="462">
        <v>4210</v>
      </c>
      <c r="D11" s="167" t="s">
        <v>147</v>
      </c>
      <c r="E11" s="463">
        <v>26460</v>
      </c>
      <c r="K11" s="178"/>
      <c r="O11" s="443"/>
      <c r="Q11" s="454"/>
      <c r="R11" s="455"/>
      <c r="W11" s="443"/>
      <c r="X11" s="454"/>
      <c r="Y11" s="454"/>
      <c r="Z11" s="454"/>
      <c r="AA11" s="454"/>
      <c r="AB11" s="454"/>
      <c r="AC11" s="454"/>
    </row>
    <row r="12" spans="1:29" ht="13.5" thickBot="1">
      <c r="A12" s="180">
        <v>600</v>
      </c>
      <c r="B12" s="210"/>
      <c r="C12" s="168"/>
      <c r="D12" s="169" t="s">
        <v>142</v>
      </c>
      <c r="E12" s="464">
        <f>E13+E17</f>
        <v>356594</v>
      </c>
      <c r="F12" s="175"/>
      <c r="J12" s="83"/>
      <c r="O12" s="443"/>
      <c r="Q12" s="454"/>
      <c r="R12" s="455"/>
      <c r="U12" s="171"/>
      <c r="V12" s="176"/>
      <c r="W12" s="176"/>
      <c r="X12" s="83"/>
      <c r="Y12" s="83"/>
      <c r="Z12" s="83"/>
      <c r="AA12" s="83"/>
      <c r="AB12" s="83"/>
      <c r="AC12" s="83"/>
    </row>
    <row r="13" spans="1:29" s="177" customFormat="1" ht="12.75">
      <c r="A13" s="212"/>
      <c r="B13" s="155">
        <v>60016</v>
      </c>
      <c r="C13" s="71"/>
      <c r="D13" s="181" t="s">
        <v>16</v>
      </c>
      <c r="E13" s="465">
        <f>SUM(E14:E16)</f>
        <v>276682</v>
      </c>
      <c r="G13" s="170"/>
      <c r="H13" s="170"/>
      <c r="I13" s="170"/>
      <c r="J13" s="86"/>
      <c r="K13" s="178"/>
      <c r="O13" s="170"/>
      <c r="Q13" s="86"/>
      <c r="R13" s="179"/>
      <c r="V13" s="170"/>
      <c r="X13" s="86"/>
      <c r="Y13" s="86"/>
      <c r="Z13" s="86"/>
      <c r="AA13" s="86"/>
      <c r="AB13" s="86"/>
      <c r="AC13" s="86"/>
    </row>
    <row r="14" spans="1:29" ht="12.75">
      <c r="A14" s="460"/>
      <c r="B14" s="461"/>
      <c r="C14" s="462">
        <v>4210</v>
      </c>
      <c r="D14" s="167" t="s">
        <v>147</v>
      </c>
      <c r="E14" s="463">
        <f>3763+8000</f>
        <v>11763</v>
      </c>
      <c r="K14" s="178"/>
      <c r="O14" s="443"/>
      <c r="Q14" s="454"/>
      <c r="R14" s="455"/>
      <c r="W14" s="443"/>
      <c r="X14" s="454"/>
      <c r="Y14" s="454"/>
      <c r="Z14" s="454"/>
      <c r="AA14" s="454"/>
      <c r="AB14" s="454"/>
      <c r="AC14" s="454"/>
    </row>
    <row r="15" spans="1:29" ht="12.75">
      <c r="A15" s="460"/>
      <c r="B15" s="461"/>
      <c r="C15" s="462">
        <v>4270</v>
      </c>
      <c r="D15" s="167" t="s">
        <v>2</v>
      </c>
      <c r="E15" s="463">
        <v>102355</v>
      </c>
      <c r="F15" s="171"/>
      <c r="G15" s="176"/>
      <c r="H15" s="176"/>
      <c r="I15" s="171"/>
      <c r="J15" s="83"/>
      <c r="O15" s="443"/>
      <c r="Q15" s="454"/>
      <c r="R15" s="455"/>
      <c r="W15" s="443"/>
      <c r="X15" s="454"/>
      <c r="Y15" s="454"/>
      <c r="Z15" s="454"/>
      <c r="AA15" s="454"/>
      <c r="AB15" s="454"/>
      <c r="AC15" s="454"/>
    </row>
    <row r="16" spans="1:29" ht="12.75">
      <c r="A16" s="460"/>
      <c r="B16" s="461"/>
      <c r="C16" s="462">
        <v>4300</v>
      </c>
      <c r="D16" s="167" t="s">
        <v>149</v>
      </c>
      <c r="E16" s="463">
        <v>162564</v>
      </c>
      <c r="F16" s="171"/>
      <c r="J16" s="83"/>
      <c r="P16" s="176"/>
      <c r="Q16" s="83"/>
      <c r="R16" s="455"/>
      <c r="W16" s="443"/>
      <c r="X16" s="454"/>
      <c r="Y16" s="454"/>
      <c r="Z16" s="454"/>
      <c r="AA16" s="454"/>
      <c r="AB16" s="454"/>
      <c r="AC16" s="454"/>
    </row>
    <row r="17" spans="1:29" s="177" customFormat="1" ht="12.75">
      <c r="A17" s="212"/>
      <c r="B17" s="34">
        <v>60095</v>
      </c>
      <c r="C17" s="107"/>
      <c r="D17" s="109" t="s">
        <v>145</v>
      </c>
      <c r="E17" s="466">
        <f>SUM(E18:E19)</f>
        <v>79912</v>
      </c>
      <c r="G17" s="170"/>
      <c r="H17" s="170"/>
      <c r="I17" s="170"/>
      <c r="J17" s="86"/>
      <c r="K17" s="178"/>
      <c r="O17" s="170"/>
      <c r="Q17" s="86"/>
      <c r="R17" s="179"/>
      <c r="V17" s="170"/>
      <c r="X17" s="86"/>
      <c r="Y17" s="86"/>
      <c r="Z17" s="86"/>
      <c r="AA17" s="86"/>
      <c r="AB17" s="86"/>
      <c r="AC17" s="86"/>
    </row>
    <row r="18" spans="1:29" s="433" customFormat="1" ht="12.75">
      <c r="A18" s="544"/>
      <c r="B18" s="340"/>
      <c r="C18" s="462">
        <v>4270</v>
      </c>
      <c r="D18" s="167" t="s">
        <v>2</v>
      </c>
      <c r="E18" s="473">
        <v>46912</v>
      </c>
      <c r="G18" s="434"/>
      <c r="H18" s="434"/>
      <c r="I18" s="434"/>
      <c r="J18" s="435"/>
      <c r="K18" s="436"/>
      <c r="O18" s="434"/>
      <c r="Q18" s="435"/>
      <c r="R18" s="437"/>
      <c r="V18" s="434"/>
      <c r="X18" s="435"/>
      <c r="Y18" s="435"/>
      <c r="Z18" s="435"/>
      <c r="AA18" s="435"/>
      <c r="AB18" s="435"/>
      <c r="AC18" s="435"/>
    </row>
    <row r="19" spans="1:29" ht="13.5" thickBot="1">
      <c r="A19" s="460"/>
      <c r="B19" s="461"/>
      <c r="C19" s="462">
        <v>4300</v>
      </c>
      <c r="D19" s="167" t="s">
        <v>149</v>
      </c>
      <c r="E19" s="463">
        <v>33000</v>
      </c>
      <c r="G19" s="443"/>
      <c r="H19" s="443"/>
      <c r="I19" s="443"/>
      <c r="J19" s="454"/>
      <c r="K19" s="178"/>
      <c r="W19" s="443"/>
      <c r="X19" s="454"/>
      <c r="Y19" s="454"/>
      <c r="Z19" s="454"/>
      <c r="AA19" s="454"/>
      <c r="AB19" s="454"/>
      <c r="AC19" s="454"/>
    </row>
    <row r="20" spans="1:29" ht="13.5" thickBot="1">
      <c r="A20" s="180">
        <v>630</v>
      </c>
      <c r="B20" s="210"/>
      <c r="C20" s="168"/>
      <c r="D20" s="169" t="s">
        <v>143</v>
      </c>
      <c r="E20" s="464">
        <f>E21</f>
        <v>16442</v>
      </c>
      <c r="F20" s="175"/>
      <c r="J20" s="83"/>
      <c r="O20" s="443"/>
      <c r="Q20" s="454"/>
      <c r="R20" s="455"/>
      <c r="U20" s="171"/>
      <c r="V20" s="176"/>
      <c r="W20" s="176"/>
      <c r="X20" s="83"/>
      <c r="Y20" s="83"/>
      <c r="Z20" s="83"/>
      <c r="AA20" s="83"/>
      <c r="AB20" s="83"/>
      <c r="AC20" s="83"/>
    </row>
    <row r="21" spans="1:29" s="177" customFormat="1" ht="12.75">
      <c r="A21" s="460"/>
      <c r="B21" s="34">
        <v>63095</v>
      </c>
      <c r="C21" s="107"/>
      <c r="D21" s="109" t="s">
        <v>145</v>
      </c>
      <c r="E21" s="466">
        <f>SUM(E22:E23)</f>
        <v>16442</v>
      </c>
      <c r="G21" s="170"/>
      <c r="H21" s="170"/>
      <c r="I21" s="170"/>
      <c r="J21" s="86"/>
      <c r="K21" s="178"/>
      <c r="O21" s="170"/>
      <c r="Q21" s="86"/>
      <c r="R21" s="179"/>
      <c r="V21" s="170"/>
      <c r="X21" s="86"/>
      <c r="Y21" s="86"/>
      <c r="Z21" s="86"/>
      <c r="AA21" s="86"/>
      <c r="AB21" s="86"/>
      <c r="AC21" s="86"/>
    </row>
    <row r="22" spans="1:29" ht="12.75">
      <c r="A22" s="460"/>
      <c r="B22" s="461"/>
      <c r="C22" s="462">
        <v>4210</v>
      </c>
      <c r="D22" s="167" t="s">
        <v>147</v>
      </c>
      <c r="E22" s="463">
        <v>3884</v>
      </c>
      <c r="F22" s="443"/>
      <c r="G22" s="443"/>
      <c r="H22" s="443"/>
      <c r="I22" s="443"/>
      <c r="J22" s="454"/>
      <c r="W22" s="443"/>
      <c r="X22" s="454"/>
      <c r="Y22" s="454"/>
      <c r="Z22" s="454"/>
      <c r="AA22" s="454"/>
      <c r="AB22" s="454"/>
      <c r="AC22" s="454"/>
    </row>
    <row r="23" spans="1:29" ht="13.5" thickBot="1">
      <c r="A23" s="460"/>
      <c r="B23" s="461"/>
      <c r="C23" s="462">
        <v>4300</v>
      </c>
      <c r="D23" s="167" t="s">
        <v>149</v>
      </c>
      <c r="E23" s="463">
        <v>12558</v>
      </c>
      <c r="W23" s="443"/>
      <c r="X23" s="454"/>
      <c r="Y23" s="454"/>
      <c r="Z23" s="454"/>
      <c r="AA23" s="454"/>
      <c r="AB23" s="454"/>
      <c r="AC23" s="454"/>
    </row>
    <row r="24" spans="1:29" ht="13.5" thickBot="1">
      <c r="A24" s="180">
        <v>750</v>
      </c>
      <c r="B24" s="210"/>
      <c r="C24" s="168"/>
      <c r="D24" s="169" t="s">
        <v>151</v>
      </c>
      <c r="E24" s="464">
        <f>E25</f>
        <v>668122</v>
      </c>
      <c r="F24" s="175"/>
      <c r="J24" s="83"/>
      <c r="O24" s="443"/>
      <c r="Q24" s="454"/>
      <c r="R24" s="455"/>
      <c r="U24" s="171"/>
      <c r="V24" s="176"/>
      <c r="W24" s="176"/>
      <c r="X24" s="83"/>
      <c r="Y24" s="83"/>
      <c r="Z24" s="83"/>
      <c r="AA24" s="83"/>
      <c r="AB24" s="83"/>
      <c r="AC24" s="83"/>
    </row>
    <row r="25" spans="1:29" s="177" customFormat="1" ht="12.75">
      <c r="A25" s="460"/>
      <c r="B25" s="81">
        <v>75095</v>
      </c>
      <c r="C25" s="107"/>
      <c r="D25" s="109" t="s">
        <v>145</v>
      </c>
      <c r="E25" s="466">
        <f>SUM(E26:E33)</f>
        <v>668122</v>
      </c>
      <c r="G25" s="170"/>
      <c r="H25" s="170"/>
      <c r="I25" s="170"/>
      <c r="J25" s="86"/>
      <c r="K25" s="178"/>
      <c r="O25" s="170"/>
      <c r="Q25" s="86"/>
      <c r="R25" s="179"/>
      <c r="V25" s="170"/>
      <c r="X25" s="86"/>
      <c r="Y25" s="86"/>
      <c r="Z25" s="86"/>
      <c r="AA25" s="86"/>
      <c r="AB25" s="86"/>
      <c r="AC25" s="86"/>
    </row>
    <row r="26" spans="1:29" ht="12.75">
      <c r="A26" s="460"/>
      <c r="B26" s="461"/>
      <c r="C26" s="462">
        <v>3030</v>
      </c>
      <c r="D26" s="167" t="s">
        <v>152</v>
      </c>
      <c r="E26" s="463">
        <v>169742</v>
      </c>
      <c r="G26" s="443"/>
      <c r="H26" s="443"/>
      <c r="I26" s="443"/>
      <c r="J26" s="454"/>
      <c r="K26" s="178"/>
      <c r="W26" s="443"/>
      <c r="X26" s="454"/>
      <c r="Y26" s="454"/>
      <c r="Z26" s="454"/>
      <c r="AA26" s="454"/>
      <c r="AB26" s="454"/>
      <c r="AC26" s="454"/>
    </row>
    <row r="27" spans="1:29" ht="12.75">
      <c r="A27" s="460"/>
      <c r="B27" s="461"/>
      <c r="C27" s="462">
        <v>4110</v>
      </c>
      <c r="D27" s="167" t="s">
        <v>153</v>
      </c>
      <c r="E27" s="463">
        <v>2202</v>
      </c>
      <c r="F27" s="171"/>
      <c r="J27" s="83"/>
      <c r="W27" s="443"/>
      <c r="X27" s="454"/>
      <c r="Y27" s="454"/>
      <c r="Z27" s="454"/>
      <c r="AA27" s="454"/>
      <c r="AB27" s="454"/>
      <c r="AC27" s="454"/>
    </row>
    <row r="28" spans="1:29" ht="12.75">
      <c r="A28" s="460"/>
      <c r="B28" s="461"/>
      <c r="C28" s="462">
        <v>4120</v>
      </c>
      <c r="D28" s="167" t="s">
        <v>154</v>
      </c>
      <c r="E28" s="463">
        <v>188</v>
      </c>
      <c r="G28" s="443"/>
      <c r="H28" s="443"/>
      <c r="I28" s="443"/>
      <c r="J28" s="454"/>
      <c r="K28" s="178"/>
      <c r="W28" s="443"/>
      <c r="X28" s="454"/>
      <c r="Y28" s="454"/>
      <c r="Z28" s="454"/>
      <c r="AA28" s="454"/>
      <c r="AB28" s="454"/>
      <c r="AC28" s="454"/>
    </row>
    <row r="29" spans="1:29" ht="12.75">
      <c r="A29" s="460"/>
      <c r="B29" s="461"/>
      <c r="C29" s="462">
        <v>4210</v>
      </c>
      <c r="D29" s="167" t="s">
        <v>155</v>
      </c>
      <c r="E29" s="463">
        <v>154231</v>
      </c>
      <c r="F29" s="171"/>
      <c r="I29" s="171"/>
      <c r="J29" s="83"/>
      <c r="W29" s="443"/>
      <c r="X29" s="454"/>
      <c r="Y29" s="454"/>
      <c r="Z29" s="454"/>
      <c r="AA29" s="454"/>
      <c r="AB29" s="454"/>
      <c r="AC29" s="454"/>
    </row>
    <row r="30" spans="1:29" ht="12.75">
      <c r="A30" s="460"/>
      <c r="B30" s="461"/>
      <c r="C30" s="462">
        <v>4260</v>
      </c>
      <c r="D30" s="167" t="s">
        <v>27</v>
      </c>
      <c r="E30" s="463">
        <v>17221</v>
      </c>
      <c r="W30" s="443"/>
      <c r="X30" s="454"/>
      <c r="Y30" s="454"/>
      <c r="Z30" s="454"/>
      <c r="AA30" s="454"/>
      <c r="AB30" s="454"/>
      <c r="AC30" s="454"/>
    </row>
    <row r="31" spans="1:29" ht="12.75">
      <c r="A31" s="460"/>
      <c r="B31" s="461"/>
      <c r="C31" s="462">
        <v>4270</v>
      </c>
      <c r="D31" s="167" t="s">
        <v>156</v>
      </c>
      <c r="E31" s="463">
        <v>35799</v>
      </c>
      <c r="W31" s="443"/>
      <c r="X31" s="454"/>
      <c r="Y31" s="454"/>
      <c r="Z31" s="454"/>
      <c r="AA31" s="454"/>
      <c r="AB31" s="454"/>
      <c r="AC31" s="454"/>
    </row>
    <row r="32" spans="1:29" ht="12.75">
      <c r="A32" s="460"/>
      <c r="B32" s="461"/>
      <c r="C32" s="462">
        <v>4300</v>
      </c>
      <c r="D32" s="167" t="s">
        <v>149</v>
      </c>
      <c r="E32" s="463">
        <v>250936</v>
      </c>
      <c r="W32" s="443"/>
      <c r="X32" s="454"/>
      <c r="Y32" s="454"/>
      <c r="Z32" s="454"/>
      <c r="AA32" s="454"/>
      <c r="AB32" s="454"/>
      <c r="AC32" s="454"/>
    </row>
    <row r="33" spans="1:29" ht="13.5" thickBot="1">
      <c r="A33" s="460"/>
      <c r="B33" s="461"/>
      <c r="C33" s="462">
        <v>4410</v>
      </c>
      <c r="D33" s="167" t="s">
        <v>157</v>
      </c>
      <c r="E33" s="463">
        <v>37803</v>
      </c>
      <c r="W33" s="443"/>
      <c r="X33" s="454"/>
      <c r="Y33" s="454"/>
      <c r="Z33" s="454"/>
      <c r="AA33" s="454"/>
      <c r="AB33" s="454"/>
      <c r="AC33" s="454"/>
    </row>
    <row r="34" spans="1:29" ht="13.5" thickBot="1">
      <c r="A34" s="180">
        <v>754</v>
      </c>
      <c r="B34" s="210"/>
      <c r="C34" s="168"/>
      <c r="D34" s="169" t="s">
        <v>146</v>
      </c>
      <c r="E34" s="464">
        <f>+E35</f>
        <v>74473</v>
      </c>
      <c r="F34" s="175"/>
      <c r="J34" s="83"/>
      <c r="O34" s="443"/>
      <c r="Q34" s="454"/>
      <c r="R34" s="455"/>
      <c r="U34" s="171"/>
      <c r="V34" s="176"/>
      <c r="W34" s="176"/>
      <c r="X34" s="83"/>
      <c r="Y34" s="83"/>
      <c r="Z34" s="83"/>
      <c r="AA34" s="83"/>
      <c r="AB34" s="83"/>
      <c r="AC34" s="83"/>
    </row>
    <row r="35" spans="1:29" s="177" customFormat="1" ht="12.75">
      <c r="A35" s="460"/>
      <c r="B35" s="34">
        <v>75495</v>
      </c>
      <c r="C35" s="107"/>
      <c r="D35" s="109" t="s">
        <v>145</v>
      </c>
      <c r="E35" s="466">
        <f>SUM(E36:E37)</f>
        <v>74473</v>
      </c>
      <c r="G35" s="170"/>
      <c r="H35" s="170"/>
      <c r="I35" s="170"/>
      <c r="J35" s="86"/>
      <c r="K35" s="178"/>
      <c r="O35" s="170"/>
      <c r="Q35" s="86"/>
      <c r="R35" s="179"/>
      <c r="V35" s="170"/>
      <c r="X35" s="86"/>
      <c r="Y35" s="86"/>
      <c r="Z35" s="86"/>
      <c r="AA35" s="86"/>
      <c r="AB35" s="86"/>
      <c r="AC35" s="86"/>
    </row>
    <row r="36" spans="1:29" ht="12.75">
      <c r="A36" s="460"/>
      <c r="B36" s="461"/>
      <c r="C36" s="462">
        <v>4210</v>
      </c>
      <c r="D36" s="167" t="s">
        <v>147</v>
      </c>
      <c r="E36" s="463">
        <v>10460</v>
      </c>
      <c r="V36" s="443"/>
      <c r="W36" s="443"/>
      <c r="X36" s="454"/>
      <c r="Y36" s="454"/>
      <c r="Z36" s="454"/>
      <c r="AA36" s="454"/>
      <c r="AB36" s="454"/>
      <c r="AC36" s="454"/>
    </row>
    <row r="37" spans="1:29" ht="13.5" thickBot="1">
      <c r="A37" s="460"/>
      <c r="B37" s="461"/>
      <c r="C37" s="462">
        <v>4300</v>
      </c>
      <c r="D37" s="167" t="s">
        <v>149</v>
      </c>
      <c r="E37" s="463">
        <v>64013</v>
      </c>
      <c r="W37" s="443"/>
      <c r="X37" s="454"/>
      <c r="Y37" s="454"/>
      <c r="Z37" s="454"/>
      <c r="AA37" s="454"/>
      <c r="AB37" s="454"/>
      <c r="AC37" s="454"/>
    </row>
    <row r="38" spans="1:29" ht="13.5" thickBot="1">
      <c r="A38" s="180">
        <v>801</v>
      </c>
      <c r="B38" s="210"/>
      <c r="C38" s="168"/>
      <c r="D38" s="169" t="s">
        <v>148</v>
      </c>
      <c r="E38" s="464">
        <f>E39+E42+E45</f>
        <v>47420</v>
      </c>
      <c r="F38" s="175"/>
      <c r="J38" s="83"/>
      <c r="O38" s="443"/>
      <c r="Q38" s="454"/>
      <c r="R38" s="455"/>
      <c r="U38" s="171"/>
      <c r="V38" s="176"/>
      <c r="W38" s="176"/>
      <c r="X38" s="83"/>
      <c r="Y38" s="83"/>
      <c r="Z38" s="83"/>
      <c r="AA38" s="83"/>
      <c r="AB38" s="83"/>
      <c r="AC38" s="83"/>
    </row>
    <row r="39" spans="1:29" s="177" customFormat="1" ht="12.75">
      <c r="A39" s="460"/>
      <c r="B39" s="81">
        <v>80101</v>
      </c>
      <c r="C39" s="107"/>
      <c r="D39" s="109" t="s">
        <v>158</v>
      </c>
      <c r="E39" s="466">
        <f>SUM(E40:E41)</f>
        <v>37918</v>
      </c>
      <c r="G39" s="170"/>
      <c r="H39" s="170"/>
      <c r="I39" s="170"/>
      <c r="J39" s="86"/>
      <c r="K39" s="178"/>
      <c r="O39" s="170"/>
      <c r="Q39" s="86"/>
      <c r="R39" s="179"/>
      <c r="V39" s="170"/>
      <c r="X39" s="86"/>
      <c r="Y39" s="86"/>
      <c r="Z39" s="86"/>
      <c r="AA39" s="86"/>
      <c r="AB39" s="86"/>
      <c r="AC39" s="86"/>
    </row>
    <row r="40" spans="1:29" ht="12.75">
      <c r="A40" s="460"/>
      <c r="B40" s="461"/>
      <c r="C40" s="462">
        <v>4210</v>
      </c>
      <c r="D40" s="167" t="s">
        <v>159</v>
      </c>
      <c r="E40" s="463">
        <v>21516</v>
      </c>
      <c r="W40" s="443"/>
      <c r="X40" s="454"/>
      <c r="Y40" s="454"/>
      <c r="Z40" s="454"/>
      <c r="AA40" s="454"/>
      <c r="AB40" s="454"/>
      <c r="AC40" s="454"/>
    </row>
    <row r="41" spans="1:29" ht="12.75">
      <c r="A41" s="460"/>
      <c r="B41" s="461"/>
      <c r="C41" s="462">
        <v>4300</v>
      </c>
      <c r="D41" s="167" t="s">
        <v>149</v>
      </c>
      <c r="E41" s="463">
        <v>16402</v>
      </c>
      <c r="W41" s="443"/>
      <c r="X41" s="454"/>
      <c r="Y41" s="454"/>
      <c r="Z41" s="454"/>
      <c r="AA41" s="454"/>
      <c r="AB41" s="454"/>
      <c r="AC41" s="454"/>
    </row>
    <row r="42" spans="1:29" s="177" customFormat="1" ht="12.75">
      <c r="A42" s="460"/>
      <c r="B42" s="34">
        <v>80110</v>
      </c>
      <c r="C42" s="107"/>
      <c r="D42" s="109" t="s">
        <v>160</v>
      </c>
      <c r="E42" s="466">
        <f>SUM(E43:E44)</f>
        <v>7802</v>
      </c>
      <c r="G42" s="170"/>
      <c r="H42" s="170"/>
      <c r="I42" s="170"/>
      <c r="J42" s="86"/>
      <c r="K42" s="178"/>
      <c r="O42" s="170"/>
      <c r="Q42" s="86"/>
      <c r="R42" s="179"/>
      <c r="V42" s="170"/>
      <c r="X42" s="86"/>
      <c r="Y42" s="86"/>
      <c r="Z42" s="86"/>
      <c r="AA42" s="86"/>
      <c r="AB42" s="86"/>
      <c r="AC42" s="86"/>
    </row>
    <row r="43" spans="1:29" ht="12.75">
      <c r="A43" s="460"/>
      <c r="B43" s="461"/>
      <c r="C43" s="462">
        <v>4210</v>
      </c>
      <c r="D43" s="167" t="s">
        <v>155</v>
      </c>
      <c r="E43" s="463">
        <v>6000</v>
      </c>
      <c r="W43" s="443"/>
      <c r="X43" s="454"/>
      <c r="Y43" s="454"/>
      <c r="Z43" s="454"/>
      <c r="AA43" s="454"/>
      <c r="AB43" s="454"/>
      <c r="AC43" s="454"/>
    </row>
    <row r="44" spans="1:29" ht="12.75">
      <c r="A44" s="460"/>
      <c r="B44" s="461"/>
      <c r="C44" s="462">
        <v>4300</v>
      </c>
      <c r="D44" s="167" t="s">
        <v>149</v>
      </c>
      <c r="E44" s="463">
        <v>1802</v>
      </c>
      <c r="W44" s="443"/>
      <c r="X44" s="454"/>
      <c r="Y44" s="454"/>
      <c r="Z44" s="454"/>
      <c r="AA44" s="454"/>
      <c r="AB44" s="454"/>
      <c r="AC44" s="454"/>
    </row>
    <row r="45" spans="1:29" s="177" customFormat="1" ht="12.75">
      <c r="A45" s="460"/>
      <c r="B45" s="34">
        <v>80195</v>
      </c>
      <c r="C45" s="107"/>
      <c r="D45" s="109" t="s">
        <v>145</v>
      </c>
      <c r="E45" s="466">
        <f>SUM(E46:E46)</f>
        <v>1700</v>
      </c>
      <c r="G45" s="170"/>
      <c r="H45" s="170"/>
      <c r="I45" s="170"/>
      <c r="J45" s="86"/>
      <c r="K45" s="178"/>
      <c r="O45" s="170"/>
      <c r="Q45" s="86"/>
      <c r="R45" s="179"/>
      <c r="V45" s="170"/>
      <c r="X45" s="86"/>
      <c r="Y45" s="86"/>
      <c r="Z45" s="86"/>
      <c r="AA45" s="86"/>
      <c r="AB45" s="86"/>
      <c r="AC45" s="86"/>
    </row>
    <row r="46" spans="1:29" ht="13.5" thickBot="1">
      <c r="A46" s="460"/>
      <c r="B46" s="461"/>
      <c r="C46" s="462">
        <v>4210</v>
      </c>
      <c r="D46" s="167" t="s">
        <v>162</v>
      </c>
      <c r="E46" s="463">
        <v>1700</v>
      </c>
      <c r="W46" s="443"/>
      <c r="X46" s="454"/>
      <c r="Y46" s="454"/>
      <c r="Z46" s="454"/>
      <c r="AA46" s="454"/>
      <c r="AB46" s="454"/>
      <c r="AC46" s="454"/>
    </row>
    <row r="47" spans="1:29" ht="13.5" thickBot="1">
      <c r="A47" s="180">
        <v>851</v>
      </c>
      <c r="B47" s="210"/>
      <c r="C47" s="168"/>
      <c r="D47" s="169" t="s">
        <v>71</v>
      </c>
      <c r="E47" s="464">
        <f>E48</f>
        <v>5500</v>
      </c>
      <c r="F47" s="175"/>
      <c r="J47" s="83"/>
      <c r="O47" s="443"/>
      <c r="Q47" s="454"/>
      <c r="R47" s="455"/>
      <c r="U47" s="171"/>
      <c r="V47" s="176"/>
      <c r="W47" s="176"/>
      <c r="X47" s="83"/>
      <c r="Y47" s="83"/>
      <c r="Z47" s="83"/>
      <c r="AA47" s="83"/>
      <c r="AB47" s="83"/>
      <c r="AC47" s="83"/>
    </row>
    <row r="48" spans="1:29" s="177" customFormat="1" ht="12.75">
      <c r="A48" s="460"/>
      <c r="B48" s="81">
        <v>85195</v>
      </c>
      <c r="C48" s="107"/>
      <c r="D48" s="109" t="s">
        <v>145</v>
      </c>
      <c r="E48" s="466">
        <f>SUM(E49)</f>
        <v>5500</v>
      </c>
      <c r="G48" s="170"/>
      <c r="H48" s="170"/>
      <c r="I48" s="170"/>
      <c r="J48" s="86"/>
      <c r="K48" s="178"/>
      <c r="O48" s="170"/>
      <c r="Q48" s="86"/>
      <c r="R48" s="179"/>
      <c r="V48" s="170"/>
      <c r="X48" s="86"/>
      <c r="Y48" s="86"/>
      <c r="Z48" s="86"/>
      <c r="AA48" s="86"/>
      <c r="AB48" s="86"/>
      <c r="AC48" s="86"/>
    </row>
    <row r="49" spans="1:29" ht="13.5" thickBot="1">
      <c r="A49" s="460"/>
      <c r="B49" s="461"/>
      <c r="C49" s="462">
        <v>4300</v>
      </c>
      <c r="D49" s="167" t="s">
        <v>149</v>
      </c>
      <c r="E49" s="463">
        <v>5500</v>
      </c>
      <c r="V49" s="443"/>
      <c r="W49" s="443"/>
      <c r="X49" s="454"/>
      <c r="Y49" s="454"/>
      <c r="Z49" s="454"/>
      <c r="AA49" s="454"/>
      <c r="AB49" s="454"/>
      <c r="AC49" s="454"/>
    </row>
    <row r="50" spans="1:29" ht="13.5" thickBot="1">
      <c r="A50" s="180">
        <v>853</v>
      </c>
      <c r="B50" s="210"/>
      <c r="C50" s="168"/>
      <c r="D50" s="169" t="s">
        <v>150</v>
      </c>
      <c r="E50" s="464">
        <f>E51</f>
        <v>66004</v>
      </c>
      <c r="F50" s="175"/>
      <c r="J50" s="83"/>
      <c r="O50" s="443"/>
      <c r="Q50" s="454"/>
      <c r="R50" s="455"/>
      <c r="U50" s="171"/>
      <c r="V50" s="176"/>
      <c r="W50" s="176"/>
      <c r="X50" s="83"/>
      <c r="Y50" s="83"/>
      <c r="Z50" s="83"/>
      <c r="AA50" s="83"/>
      <c r="AB50" s="83"/>
      <c r="AC50" s="83"/>
    </row>
    <row r="51" spans="1:29" s="177" customFormat="1" ht="12.75">
      <c r="A51" s="460"/>
      <c r="B51" s="81">
        <v>85395</v>
      </c>
      <c r="C51" s="107"/>
      <c r="D51" s="109" t="s">
        <v>145</v>
      </c>
      <c r="E51" s="466">
        <f>SUM(E52:E54)</f>
        <v>66004</v>
      </c>
      <c r="G51" s="170"/>
      <c r="H51" s="170"/>
      <c r="I51" s="170"/>
      <c r="J51" s="86"/>
      <c r="K51" s="178"/>
      <c r="O51" s="170"/>
      <c r="Q51" s="86"/>
      <c r="R51" s="179"/>
      <c r="V51" s="170"/>
      <c r="X51" s="86"/>
      <c r="Y51" s="86"/>
      <c r="Z51" s="86"/>
      <c r="AA51" s="86"/>
      <c r="AB51" s="86"/>
      <c r="AC51" s="86"/>
    </row>
    <row r="52" spans="1:29" ht="12.75">
      <c r="A52" s="460"/>
      <c r="B52" s="461"/>
      <c r="C52" s="462">
        <v>2630</v>
      </c>
      <c r="D52" s="167" t="s">
        <v>163</v>
      </c>
      <c r="E52" s="463">
        <v>24000</v>
      </c>
      <c r="V52" s="443"/>
      <c r="W52" s="443"/>
      <c r="X52" s="454"/>
      <c r="Y52" s="454"/>
      <c r="Z52" s="454"/>
      <c r="AA52" s="454"/>
      <c r="AB52" s="454"/>
      <c r="AC52" s="454"/>
    </row>
    <row r="53" spans="1:29" ht="12.75">
      <c r="A53" s="460"/>
      <c r="B53" s="461"/>
      <c r="C53" s="462">
        <v>4210</v>
      </c>
      <c r="D53" s="167" t="s">
        <v>162</v>
      </c>
      <c r="E53" s="463">
        <v>38954</v>
      </c>
      <c r="W53" s="443"/>
      <c r="X53" s="454"/>
      <c r="Y53" s="454"/>
      <c r="Z53" s="454"/>
      <c r="AA53" s="454"/>
      <c r="AB53" s="454"/>
      <c r="AC53" s="454"/>
    </row>
    <row r="54" spans="1:29" ht="13.5" thickBot="1">
      <c r="A54" s="460"/>
      <c r="B54" s="461"/>
      <c r="C54" s="462">
        <v>4300</v>
      </c>
      <c r="D54" s="167" t="s">
        <v>149</v>
      </c>
      <c r="E54" s="463">
        <v>3050</v>
      </c>
      <c r="W54" s="443"/>
      <c r="X54" s="454"/>
      <c r="Y54" s="454"/>
      <c r="Z54" s="454"/>
      <c r="AA54" s="454"/>
      <c r="AB54" s="454"/>
      <c r="AC54" s="454"/>
    </row>
    <row r="55" spans="1:29" ht="13.5" thickBot="1">
      <c r="A55" s="180">
        <v>854</v>
      </c>
      <c r="B55" s="210"/>
      <c r="C55" s="168"/>
      <c r="D55" s="169" t="s">
        <v>165</v>
      </c>
      <c r="E55" s="464">
        <f>E56+E62+E64+E69+E71+E60</f>
        <v>268275</v>
      </c>
      <c r="F55" s="175"/>
      <c r="J55" s="83"/>
      <c r="O55" s="443"/>
      <c r="Q55" s="454"/>
      <c r="R55" s="455"/>
      <c r="U55" s="171"/>
      <c r="V55" s="176"/>
      <c r="W55" s="176"/>
      <c r="X55" s="83"/>
      <c r="Y55" s="83"/>
      <c r="Z55" s="83"/>
      <c r="AA55" s="83"/>
      <c r="AB55" s="83"/>
      <c r="AC55" s="83"/>
    </row>
    <row r="56" spans="1:29" s="177" customFormat="1" ht="12.75">
      <c r="A56" s="460"/>
      <c r="B56" s="81">
        <v>85401</v>
      </c>
      <c r="C56" s="107"/>
      <c r="D56" s="109" t="s">
        <v>166</v>
      </c>
      <c r="E56" s="466">
        <f>SUM(E57:E59)</f>
        <v>5000</v>
      </c>
      <c r="G56" s="170"/>
      <c r="H56" s="170"/>
      <c r="I56" s="170"/>
      <c r="J56" s="86"/>
      <c r="K56" s="178"/>
      <c r="O56" s="170"/>
      <c r="Q56" s="86"/>
      <c r="R56" s="179"/>
      <c r="V56" s="170"/>
      <c r="X56" s="86"/>
      <c r="Y56" s="86"/>
      <c r="Z56" s="86"/>
      <c r="AA56" s="86"/>
      <c r="AB56" s="86"/>
      <c r="AC56" s="86"/>
    </row>
    <row r="57" spans="1:29" ht="13.5" customHeight="1">
      <c r="A57" s="460"/>
      <c r="B57" s="461"/>
      <c r="C57" s="462">
        <v>4210</v>
      </c>
      <c r="D57" s="167" t="s">
        <v>162</v>
      </c>
      <c r="E57" s="463">
        <v>3000</v>
      </c>
      <c r="W57" s="443"/>
      <c r="X57" s="454"/>
      <c r="Y57" s="454"/>
      <c r="Z57" s="454"/>
      <c r="AA57" s="454"/>
      <c r="AB57" s="454"/>
      <c r="AC57" s="454"/>
    </row>
    <row r="58" spans="1:29" ht="12.75">
      <c r="A58" s="460"/>
      <c r="B58" s="461"/>
      <c r="C58" s="462">
        <v>4300</v>
      </c>
      <c r="D58" s="167" t="s">
        <v>149</v>
      </c>
      <c r="E58" s="463">
        <v>1500</v>
      </c>
      <c r="W58" s="443"/>
      <c r="X58" s="454"/>
      <c r="Y58" s="454"/>
      <c r="Z58" s="454"/>
      <c r="AA58" s="454"/>
      <c r="AB58" s="454"/>
      <c r="AC58" s="454"/>
    </row>
    <row r="59" spans="1:29" ht="13.5" thickBot="1">
      <c r="A59" s="468"/>
      <c r="B59" s="469"/>
      <c r="C59" s="470">
        <v>4410</v>
      </c>
      <c r="D59" s="471" t="s">
        <v>28</v>
      </c>
      <c r="E59" s="472">
        <v>500</v>
      </c>
      <c r="W59" s="443"/>
      <c r="X59" s="454"/>
      <c r="Y59" s="454"/>
      <c r="Z59" s="454"/>
      <c r="AA59" s="454"/>
      <c r="AB59" s="454"/>
      <c r="AC59" s="454"/>
    </row>
    <row r="60" spans="1:29" s="177" customFormat="1" ht="12.75">
      <c r="A60" s="545"/>
      <c r="B60" s="155">
        <v>85402</v>
      </c>
      <c r="C60" s="30"/>
      <c r="D60" s="567" t="s">
        <v>246</v>
      </c>
      <c r="E60" s="568">
        <f>SUM(E61:E61)</f>
        <v>2000</v>
      </c>
      <c r="G60" s="170"/>
      <c r="H60" s="170"/>
      <c r="I60" s="170"/>
      <c r="J60" s="86"/>
      <c r="K60" s="178"/>
      <c r="O60" s="170"/>
      <c r="Q60" s="86"/>
      <c r="R60" s="179"/>
      <c r="V60" s="170"/>
      <c r="X60" s="86"/>
      <c r="Y60" s="86"/>
      <c r="Z60" s="86"/>
      <c r="AA60" s="86"/>
      <c r="AB60" s="86"/>
      <c r="AC60" s="86"/>
    </row>
    <row r="61" spans="1:29" ht="13.5" customHeight="1">
      <c r="A61" s="460"/>
      <c r="B61" s="461"/>
      <c r="C61" s="462">
        <v>4300</v>
      </c>
      <c r="D61" s="167" t="s">
        <v>149</v>
      </c>
      <c r="E61" s="463">
        <v>2000</v>
      </c>
      <c r="W61" s="443"/>
      <c r="X61" s="454"/>
      <c r="Y61" s="454"/>
      <c r="Z61" s="454"/>
      <c r="AA61" s="454"/>
      <c r="AB61" s="454"/>
      <c r="AC61" s="454"/>
    </row>
    <row r="62" spans="1:29" s="177" customFormat="1" ht="12.75">
      <c r="A62" s="460"/>
      <c r="B62" s="34">
        <v>85404</v>
      </c>
      <c r="C62" s="107"/>
      <c r="D62" s="109" t="s">
        <v>226</v>
      </c>
      <c r="E62" s="466">
        <f>SUM(E63:E63)</f>
        <v>1000</v>
      </c>
      <c r="G62" s="170"/>
      <c r="H62" s="170"/>
      <c r="I62" s="170"/>
      <c r="J62" s="86"/>
      <c r="K62" s="178"/>
      <c r="O62" s="170"/>
      <c r="Q62" s="86"/>
      <c r="R62" s="179"/>
      <c r="V62" s="170"/>
      <c r="X62" s="86"/>
      <c r="Y62" s="86"/>
      <c r="Z62" s="86"/>
      <c r="AA62" s="86"/>
      <c r="AB62" s="86"/>
      <c r="AC62" s="86"/>
    </row>
    <row r="63" spans="1:29" ht="13.5" customHeight="1">
      <c r="A63" s="460"/>
      <c r="B63" s="461"/>
      <c r="C63" s="462">
        <v>4210</v>
      </c>
      <c r="D63" s="167" t="s">
        <v>162</v>
      </c>
      <c r="E63" s="463">
        <v>1000</v>
      </c>
      <c r="W63" s="443"/>
      <c r="X63" s="454"/>
      <c r="Y63" s="454"/>
      <c r="Z63" s="454"/>
      <c r="AA63" s="454"/>
      <c r="AB63" s="454"/>
      <c r="AC63" s="454"/>
    </row>
    <row r="64" spans="1:29" s="177" customFormat="1" ht="12.75">
      <c r="A64" s="460"/>
      <c r="B64" s="34">
        <v>85412</v>
      </c>
      <c r="C64" s="107"/>
      <c r="D64" s="109" t="s">
        <v>168</v>
      </c>
      <c r="E64" s="466">
        <f>SUM(E65:E68)</f>
        <v>176309</v>
      </c>
      <c r="G64" s="170"/>
      <c r="H64" s="170"/>
      <c r="I64" s="170"/>
      <c r="J64" s="86"/>
      <c r="K64" s="178"/>
      <c r="O64" s="170"/>
      <c r="Q64" s="86"/>
      <c r="R64" s="179"/>
      <c r="V64" s="170"/>
      <c r="X64" s="86"/>
      <c r="Y64" s="86"/>
      <c r="Z64" s="86"/>
      <c r="AA64" s="86"/>
      <c r="AB64" s="86"/>
      <c r="AC64" s="86"/>
    </row>
    <row r="65" spans="1:29" ht="12.75">
      <c r="A65" s="460"/>
      <c r="B65" s="461"/>
      <c r="C65" s="462">
        <v>2630</v>
      </c>
      <c r="D65" s="167" t="s">
        <v>167</v>
      </c>
      <c r="E65" s="463">
        <v>2500</v>
      </c>
      <c r="W65" s="443"/>
      <c r="X65" s="454"/>
      <c r="Y65" s="454"/>
      <c r="Z65" s="454"/>
      <c r="AA65" s="454"/>
      <c r="AB65" s="454"/>
      <c r="AC65" s="454"/>
    </row>
    <row r="66" spans="1:29" ht="12.75">
      <c r="A66" s="460"/>
      <c r="B66" s="461"/>
      <c r="C66" s="462">
        <v>4210</v>
      </c>
      <c r="D66" s="167" t="s">
        <v>162</v>
      </c>
      <c r="E66" s="463">
        <v>48709</v>
      </c>
      <c r="W66" s="443"/>
      <c r="X66" s="454"/>
      <c r="Y66" s="454"/>
      <c r="Z66" s="454"/>
      <c r="AA66" s="454"/>
      <c r="AB66" s="454"/>
      <c r="AC66" s="454"/>
    </row>
    <row r="67" spans="1:29" ht="12.75">
      <c r="A67" s="460"/>
      <c r="B67" s="461"/>
      <c r="C67" s="462">
        <v>4300</v>
      </c>
      <c r="D67" s="167" t="s">
        <v>149</v>
      </c>
      <c r="E67" s="463">
        <v>123980</v>
      </c>
      <c r="W67" s="443"/>
      <c r="X67" s="454"/>
      <c r="Y67" s="454"/>
      <c r="Z67" s="454"/>
      <c r="AA67" s="454"/>
      <c r="AB67" s="454"/>
      <c r="AC67" s="454"/>
    </row>
    <row r="68" spans="1:29" ht="13.5" customHeight="1">
      <c r="A68" s="460"/>
      <c r="B68" s="461"/>
      <c r="C68" s="462">
        <v>4410</v>
      </c>
      <c r="D68" s="167" t="s">
        <v>28</v>
      </c>
      <c r="E68" s="463">
        <v>1120</v>
      </c>
      <c r="W68" s="443"/>
      <c r="X68" s="454"/>
      <c r="Y68" s="454"/>
      <c r="Z68" s="454"/>
      <c r="AA68" s="454"/>
      <c r="AB68" s="454"/>
      <c r="AC68" s="454"/>
    </row>
    <row r="69" spans="1:29" s="177" customFormat="1" ht="25.5">
      <c r="A69" s="460"/>
      <c r="B69" s="34">
        <v>85418</v>
      </c>
      <c r="C69" s="107"/>
      <c r="D69" s="109" t="s">
        <v>247</v>
      </c>
      <c r="E69" s="466">
        <f>SUM(E70:E70)</f>
        <v>3000</v>
      </c>
      <c r="G69" s="170"/>
      <c r="H69" s="170"/>
      <c r="I69" s="170"/>
      <c r="J69" s="86"/>
      <c r="K69" s="178"/>
      <c r="O69" s="170"/>
      <c r="Q69" s="86"/>
      <c r="R69" s="179"/>
      <c r="V69" s="170"/>
      <c r="X69" s="86"/>
      <c r="Y69" s="86"/>
      <c r="Z69" s="86"/>
      <c r="AA69" s="86"/>
      <c r="AB69" s="86"/>
      <c r="AC69" s="86"/>
    </row>
    <row r="70" spans="1:29" ht="13.5" customHeight="1">
      <c r="A70" s="460"/>
      <c r="B70" s="461"/>
      <c r="C70" s="462">
        <v>4300</v>
      </c>
      <c r="D70" s="167" t="s">
        <v>149</v>
      </c>
      <c r="E70" s="463">
        <v>3000</v>
      </c>
      <c r="W70" s="443"/>
      <c r="X70" s="454"/>
      <c r="Y70" s="454"/>
      <c r="Z70" s="454"/>
      <c r="AA70" s="454"/>
      <c r="AB70" s="454"/>
      <c r="AC70" s="454"/>
    </row>
    <row r="71" spans="1:29" s="177" customFormat="1" ht="12.75">
      <c r="A71" s="460"/>
      <c r="B71" s="34">
        <v>85495</v>
      </c>
      <c r="C71" s="107"/>
      <c r="D71" s="109" t="s">
        <v>145</v>
      </c>
      <c r="E71" s="466">
        <f>SUM(E72:E76)</f>
        <v>80966</v>
      </c>
      <c r="G71" s="170"/>
      <c r="H71" s="170"/>
      <c r="I71" s="170"/>
      <c r="J71" s="86"/>
      <c r="K71" s="178"/>
      <c r="O71" s="170"/>
      <c r="Q71" s="86"/>
      <c r="R71" s="179"/>
      <c r="V71" s="170"/>
      <c r="X71" s="86"/>
      <c r="Y71" s="86"/>
      <c r="Z71" s="86"/>
      <c r="AA71" s="86"/>
      <c r="AB71" s="86"/>
      <c r="AC71" s="86"/>
    </row>
    <row r="72" spans="1:29" s="433" customFormat="1" ht="12.75">
      <c r="A72" s="467"/>
      <c r="B72" s="340"/>
      <c r="C72" s="462">
        <v>4110</v>
      </c>
      <c r="D72" s="167" t="s">
        <v>153</v>
      </c>
      <c r="E72" s="473">
        <v>110</v>
      </c>
      <c r="G72" s="434"/>
      <c r="H72" s="434"/>
      <c r="I72" s="434"/>
      <c r="J72" s="435"/>
      <c r="K72" s="436"/>
      <c r="O72" s="434"/>
      <c r="Q72" s="435"/>
      <c r="R72" s="437"/>
      <c r="V72" s="434"/>
      <c r="X72" s="435"/>
      <c r="Y72" s="435"/>
      <c r="Z72" s="435"/>
      <c r="AA72" s="435"/>
      <c r="AB72" s="435"/>
      <c r="AC72" s="435"/>
    </row>
    <row r="73" spans="1:29" ht="12.75">
      <c r="A73" s="460"/>
      <c r="B73" s="461"/>
      <c r="C73" s="462">
        <v>4210</v>
      </c>
      <c r="D73" s="167" t="s">
        <v>162</v>
      </c>
      <c r="E73" s="463">
        <f>40498-1000-200</f>
        <v>39298</v>
      </c>
      <c r="W73" s="443"/>
      <c r="X73" s="454"/>
      <c r="Y73" s="454"/>
      <c r="Z73" s="454"/>
      <c r="AA73" s="454"/>
      <c r="AB73" s="454"/>
      <c r="AC73" s="454"/>
    </row>
    <row r="74" spans="1:29" ht="12.75">
      <c r="A74" s="460"/>
      <c r="B74" s="461"/>
      <c r="C74" s="462">
        <v>4240</v>
      </c>
      <c r="D74" s="167" t="s">
        <v>164</v>
      </c>
      <c r="E74" s="463">
        <v>1500</v>
      </c>
      <c r="W74" s="443"/>
      <c r="X74" s="454"/>
      <c r="Y74" s="454"/>
      <c r="Z74" s="454"/>
      <c r="AA74" s="454"/>
      <c r="AB74" s="454"/>
      <c r="AC74" s="454"/>
    </row>
    <row r="75" spans="1:29" ht="12.75">
      <c r="A75" s="460"/>
      <c r="B75" s="461"/>
      <c r="C75" s="462">
        <v>4300</v>
      </c>
      <c r="D75" s="167" t="s">
        <v>149</v>
      </c>
      <c r="E75" s="463">
        <v>39998</v>
      </c>
      <c r="W75" s="443"/>
      <c r="X75" s="454"/>
      <c r="Y75" s="454"/>
      <c r="Z75" s="454"/>
      <c r="AA75" s="454"/>
      <c r="AB75" s="454"/>
      <c r="AC75" s="454"/>
    </row>
    <row r="76" spans="1:29" ht="13.5" thickBot="1">
      <c r="A76" s="460"/>
      <c r="B76" s="461"/>
      <c r="C76" s="462">
        <v>4410</v>
      </c>
      <c r="D76" s="167" t="s">
        <v>28</v>
      </c>
      <c r="E76" s="463">
        <v>60</v>
      </c>
      <c r="W76" s="443"/>
      <c r="X76" s="454"/>
      <c r="Y76" s="454"/>
      <c r="Z76" s="454"/>
      <c r="AA76" s="454"/>
      <c r="AB76" s="454"/>
      <c r="AC76" s="454"/>
    </row>
    <row r="77" spans="1:29" ht="13.5" thickBot="1">
      <c r="A77" s="180">
        <v>900</v>
      </c>
      <c r="B77" s="210"/>
      <c r="C77" s="168"/>
      <c r="D77" s="169" t="s">
        <v>169</v>
      </c>
      <c r="E77" s="464">
        <f>E80+E83+E87+E90+E78</f>
        <v>526034</v>
      </c>
      <c r="F77" s="175"/>
      <c r="J77" s="83"/>
      <c r="O77" s="443"/>
      <c r="Q77" s="454"/>
      <c r="R77" s="455"/>
      <c r="U77" s="171"/>
      <c r="V77" s="176"/>
      <c r="W77" s="176"/>
      <c r="X77" s="83"/>
      <c r="Y77" s="83"/>
      <c r="Z77" s="83"/>
      <c r="AA77" s="83"/>
      <c r="AB77" s="83"/>
      <c r="AC77" s="83"/>
    </row>
    <row r="78" spans="1:29" s="177" customFormat="1" ht="12.75" hidden="1">
      <c r="A78" s="460"/>
      <c r="B78" s="81">
        <v>90001</v>
      </c>
      <c r="C78" s="107"/>
      <c r="D78" s="109" t="s">
        <v>95</v>
      </c>
      <c r="E78" s="466">
        <f>E79</f>
        <v>0</v>
      </c>
      <c r="G78" s="170"/>
      <c r="H78" s="170"/>
      <c r="I78" s="170"/>
      <c r="J78" s="86"/>
      <c r="K78" s="178"/>
      <c r="O78" s="170"/>
      <c r="Q78" s="86"/>
      <c r="R78" s="179"/>
      <c r="V78" s="170"/>
      <c r="X78" s="86"/>
      <c r="Y78" s="86"/>
      <c r="Z78" s="86"/>
      <c r="AA78" s="86"/>
      <c r="AB78" s="86"/>
      <c r="AC78" s="86"/>
    </row>
    <row r="79" spans="1:29" ht="12.75" hidden="1">
      <c r="A79" s="460"/>
      <c r="B79" s="461"/>
      <c r="C79" s="462">
        <v>4300</v>
      </c>
      <c r="D79" s="167" t="s">
        <v>149</v>
      </c>
      <c r="E79" s="463">
        <v>0</v>
      </c>
      <c r="W79" s="443"/>
      <c r="X79" s="454"/>
      <c r="Y79" s="454"/>
      <c r="Z79" s="454"/>
      <c r="AA79" s="454"/>
      <c r="AB79" s="454"/>
      <c r="AC79" s="454"/>
    </row>
    <row r="80" spans="1:29" s="177" customFormat="1" ht="12.75">
      <c r="A80" s="460"/>
      <c r="B80" s="34">
        <v>90003</v>
      </c>
      <c r="C80" s="107"/>
      <c r="D80" s="109" t="s">
        <v>170</v>
      </c>
      <c r="E80" s="466">
        <f>SUM(E81:E82)</f>
        <v>27980</v>
      </c>
      <c r="G80" s="170"/>
      <c r="H80" s="170"/>
      <c r="I80" s="170"/>
      <c r="J80" s="86"/>
      <c r="K80" s="178"/>
      <c r="O80" s="170"/>
      <c r="Q80" s="86"/>
      <c r="R80" s="179"/>
      <c r="V80" s="170"/>
      <c r="X80" s="86"/>
      <c r="Y80" s="86"/>
      <c r="Z80" s="86"/>
      <c r="AA80" s="86"/>
      <c r="AB80" s="86"/>
      <c r="AC80" s="86"/>
    </row>
    <row r="81" spans="1:29" ht="12.75">
      <c r="A81" s="460"/>
      <c r="B81" s="461"/>
      <c r="C81" s="462">
        <v>4210</v>
      </c>
      <c r="D81" s="167" t="s">
        <v>162</v>
      </c>
      <c r="E81" s="463">
        <v>5500</v>
      </c>
      <c r="W81" s="443"/>
      <c r="X81" s="454"/>
      <c r="Y81" s="454"/>
      <c r="Z81" s="454"/>
      <c r="AA81" s="454"/>
      <c r="AB81" s="454"/>
      <c r="AC81" s="454"/>
    </row>
    <row r="82" spans="1:29" ht="12.75">
      <c r="A82" s="460"/>
      <c r="B82" s="461"/>
      <c r="C82" s="462">
        <v>4300</v>
      </c>
      <c r="D82" s="167" t="s">
        <v>149</v>
      </c>
      <c r="E82" s="463">
        <v>22480</v>
      </c>
      <c r="W82" s="443"/>
      <c r="X82" s="454"/>
      <c r="Y82" s="454"/>
      <c r="Z82" s="454"/>
      <c r="AA82" s="454"/>
      <c r="AB82" s="454"/>
      <c r="AC82" s="454"/>
    </row>
    <row r="83" spans="1:29" s="177" customFormat="1" ht="12.75">
      <c r="A83" s="460"/>
      <c r="B83" s="34">
        <v>90004</v>
      </c>
      <c r="C83" s="107"/>
      <c r="D83" s="109" t="s">
        <v>171</v>
      </c>
      <c r="E83" s="466">
        <f>SUM(E84:E86)</f>
        <v>221136</v>
      </c>
      <c r="G83" s="170"/>
      <c r="H83" s="170"/>
      <c r="I83" s="170"/>
      <c r="J83" s="86"/>
      <c r="K83" s="178"/>
      <c r="O83" s="170"/>
      <c r="Q83" s="86"/>
      <c r="R83" s="179"/>
      <c r="V83" s="170"/>
      <c r="X83" s="86"/>
      <c r="Y83" s="86"/>
      <c r="Z83" s="86"/>
      <c r="AA83" s="86"/>
      <c r="AB83" s="86"/>
      <c r="AC83" s="86"/>
    </row>
    <row r="84" spans="1:29" ht="12.75">
      <c r="A84" s="460"/>
      <c r="B84" s="461"/>
      <c r="C84" s="462">
        <v>4210</v>
      </c>
      <c r="D84" s="167" t="s">
        <v>162</v>
      </c>
      <c r="E84" s="463">
        <v>81355</v>
      </c>
      <c r="W84" s="443"/>
      <c r="X84" s="454"/>
      <c r="Y84" s="454"/>
      <c r="Z84" s="454"/>
      <c r="AA84" s="454"/>
      <c r="AB84" s="454"/>
      <c r="AC84" s="454"/>
    </row>
    <row r="85" spans="1:29" ht="12.75">
      <c r="A85" s="460"/>
      <c r="B85" s="461"/>
      <c r="C85" s="462">
        <v>4270</v>
      </c>
      <c r="D85" s="167" t="s">
        <v>172</v>
      </c>
      <c r="E85" s="463">
        <v>67016</v>
      </c>
      <c r="W85" s="443"/>
      <c r="X85" s="454"/>
      <c r="Y85" s="454"/>
      <c r="Z85" s="454"/>
      <c r="AA85" s="454"/>
      <c r="AB85" s="454"/>
      <c r="AC85" s="454"/>
    </row>
    <row r="86" spans="1:29" ht="12.75">
      <c r="A86" s="460"/>
      <c r="B86" s="461"/>
      <c r="C86" s="462">
        <v>4300</v>
      </c>
      <c r="D86" s="167" t="s">
        <v>149</v>
      </c>
      <c r="E86" s="463">
        <v>72765</v>
      </c>
      <c r="W86" s="443"/>
      <c r="X86" s="454"/>
      <c r="Y86" s="454"/>
      <c r="Z86" s="454"/>
      <c r="AA86" s="454"/>
      <c r="AB86" s="454"/>
      <c r="AC86" s="454"/>
    </row>
    <row r="87" spans="1:29" s="177" customFormat="1" ht="12.75">
      <c r="A87" s="460"/>
      <c r="B87" s="34">
        <v>90015</v>
      </c>
      <c r="C87" s="107"/>
      <c r="D87" s="109" t="s">
        <v>173</v>
      </c>
      <c r="E87" s="466">
        <f>SUM(E88:E89)</f>
        <v>45060</v>
      </c>
      <c r="G87" s="170"/>
      <c r="H87" s="170"/>
      <c r="I87" s="170"/>
      <c r="J87" s="86"/>
      <c r="K87" s="178"/>
      <c r="O87" s="170"/>
      <c r="Q87" s="86"/>
      <c r="R87" s="179"/>
      <c r="V87" s="170"/>
      <c r="X87" s="86"/>
      <c r="Y87" s="86"/>
      <c r="Z87" s="86"/>
      <c r="AA87" s="86"/>
      <c r="AB87" s="86"/>
      <c r="AC87" s="86"/>
    </row>
    <row r="88" spans="1:29" ht="12.75">
      <c r="A88" s="460"/>
      <c r="B88" s="461"/>
      <c r="C88" s="462">
        <v>4270</v>
      </c>
      <c r="D88" s="167" t="s">
        <v>172</v>
      </c>
      <c r="E88" s="463">
        <v>20000</v>
      </c>
      <c r="W88" s="443"/>
      <c r="X88" s="454"/>
      <c r="Y88" s="454"/>
      <c r="Z88" s="454"/>
      <c r="AA88" s="454"/>
      <c r="AB88" s="454"/>
      <c r="AC88" s="454"/>
    </row>
    <row r="89" spans="1:29" ht="12.75">
      <c r="A89" s="460"/>
      <c r="B89" s="461"/>
      <c r="C89" s="462">
        <v>4300</v>
      </c>
      <c r="D89" s="167" t="s">
        <v>149</v>
      </c>
      <c r="E89" s="463">
        <v>25060</v>
      </c>
      <c r="W89" s="443"/>
      <c r="X89" s="454"/>
      <c r="Y89" s="454"/>
      <c r="Z89" s="454"/>
      <c r="AA89" s="454"/>
      <c r="AB89" s="454"/>
      <c r="AC89" s="454"/>
    </row>
    <row r="90" spans="1:29" s="177" customFormat="1" ht="12.75">
      <c r="A90" s="460"/>
      <c r="B90" s="34">
        <v>90095</v>
      </c>
      <c r="C90" s="107"/>
      <c r="D90" s="109" t="s">
        <v>145</v>
      </c>
      <c r="E90" s="466">
        <f>SUM(E91:E93)</f>
        <v>231858</v>
      </c>
      <c r="G90" s="170"/>
      <c r="H90" s="170"/>
      <c r="I90" s="170"/>
      <c r="J90" s="86"/>
      <c r="K90" s="178"/>
      <c r="O90" s="170"/>
      <c r="Q90" s="86"/>
      <c r="R90" s="179"/>
      <c r="V90" s="170"/>
      <c r="X90" s="86"/>
      <c r="Y90" s="86"/>
      <c r="Z90" s="86"/>
      <c r="AA90" s="86"/>
      <c r="AB90" s="86"/>
      <c r="AC90" s="86"/>
    </row>
    <row r="91" spans="1:29" ht="12.75">
      <c r="A91" s="460"/>
      <c r="B91" s="461"/>
      <c r="C91" s="462">
        <v>4210</v>
      </c>
      <c r="D91" s="167" t="s">
        <v>162</v>
      </c>
      <c r="E91" s="463">
        <f>83860+13052</f>
        <v>96912</v>
      </c>
      <c r="W91" s="443"/>
      <c r="X91" s="454"/>
      <c r="Y91" s="454"/>
      <c r="Z91" s="454"/>
      <c r="AA91" s="454"/>
      <c r="AB91" s="454"/>
      <c r="AC91" s="454"/>
    </row>
    <row r="92" spans="1:29" ht="12.75">
      <c r="A92" s="460"/>
      <c r="B92" s="461"/>
      <c r="C92" s="462">
        <v>4270</v>
      </c>
      <c r="D92" s="167" t="s">
        <v>172</v>
      </c>
      <c r="E92" s="463">
        <v>13000</v>
      </c>
      <c r="W92" s="443"/>
      <c r="X92" s="454"/>
      <c r="Y92" s="454"/>
      <c r="Z92" s="454"/>
      <c r="AA92" s="454"/>
      <c r="AB92" s="454"/>
      <c r="AC92" s="454"/>
    </row>
    <row r="93" spans="1:29" ht="13.5" thickBot="1">
      <c r="A93" s="460"/>
      <c r="B93" s="461"/>
      <c r="C93" s="462">
        <v>4300</v>
      </c>
      <c r="D93" s="167" t="s">
        <v>149</v>
      </c>
      <c r="E93" s="463">
        <v>121946</v>
      </c>
      <c r="W93" s="443"/>
      <c r="X93" s="454"/>
      <c r="Y93" s="454"/>
      <c r="Z93" s="454"/>
      <c r="AA93" s="454"/>
      <c r="AB93" s="454"/>
      <c r="AC93" s="454"/>
    </row>
    <row r="94" spans="1:29" ht="13.5" thickBot="1">
      <c r="A94" s="180">
        <v>921</v>
      </c>
      <c r="B94" s="210"/>
      <c r="C94" s="168"/>
      <c r="D94" s="169" t="s">
        <v>175</v>
      </c>
      <c r="E94" s="464">
        <f>E95+E101+E105</f>
        <v>522595</v>
      </c>
      <c r="F94" s="175"/>
      <c r="J94" s="83"/>
      <c r="O94" s="443"/>
      <c r="Q94" s="454"/>
      <c r="R94" s="455"/>
      <c r="U94" s="171"/>
      <c r="V94" s="176"/>
      <c r="W94" s="176"/>
      <c r="X94" s="83"/>
      <c r="Y94" s="83"/>
      <c r="Z94" s="83"/>
      <c r="AA94" s="83"/>
      <c r="AB94" s="83"/>
      <c r="AC94" s="83"/>
    </row>
    <row r="95" spans="1:29" s="177" customFormat="1" ht="12.75">
      <c r="A95" s="460"/>
      <c r="B95" s="81">
        <v>92105</v>
      </c>
      <c r="C95" s="107"/>
      <c r="D95" s="109" t="s">
        <v>176</v>
      </c>
      <c r="E95" s="466">
        <f>SUM(E96:E100)</f>
        <v>251429</v>
      </c>
      <c r="G95" s="170"/>
      <c r="H95" s="170"/>
      <c r="I95" s="170"/>
      <c r="J95" s="86"/>
      <c r="K95" s="178"/>
      <c r="O95" s="170"/>
      <c r="Q95" s="86"/>
      <c r="R95" s="179"/>
      <c r="V95" s="170"/>
      <c r="X95" s="86"/>
      <c r="Y95" s="86"/>
      <c r="Z95" s="86"/>
      <c r="AA95" s="86"/>
      <c r="AB95" s="86"/>
      <c r="AC95" s="86"/>
    </row>
    <row r="96" spans="1:29" ht="12.75">
      <c r="A96" s="460"/>
      <c r="B96" s="461"/>
      <c r="C96" s="462">
        <v>4110</v>
      </c>
      <c r="D96" s="167" t="s">
        <v>161</v>
      </c>
      <c r="E96" s="463">
        <v>716</v>
      </c>
      <c r="V96" s="443"/>
      <c r="W96" s="443"/>
      <c r="X96" s="454"/>
      <c r="Y96" s="454"/>
      <c r="Z96" s="454"/>
      <c r="AA96" s="454"/>
      <c r="AB96" s="454"/>
      <c r="AC96" s="454"/>
    </row>
    <row r="97" spans="1:29" ht="12.75">
      <c r="A97" s="460"/>
      <c r="B97" s="461"/>
      <c r="C97" s="462">
        <v>4120</v>
      </c>
      <c r="D97" s="167" t="s">
        <v>26</v>
      </c>
      <c r="E97" s="463">
        <v>98</v>
      </c>
      <c r="W97" s="443"/>
      <c r="X97" s="454"/>
      <c r="Y97" s="454"/>
      <c r="Z97" s="454"/>
      <c r="AA97" s="454"/>
      <c r="AB97" s="86"/>
      <c r="AC97" s="454"/>
    </row>
    <row r="98" spans="1:29" ht="12.75">
      <c r="A98" s="460"/>
      <c r="B98" s="211"/>
      <c r="C98" s="462">
        <v>4210</v>
      </c>
      <c r="D98" s="167" t="s">
        <v>162</v>
      </c>
      <c r="E98" s="474">
        <v>55801</v>
      </c>
      <c r="U98" s="171"/>
      <c r="V98" s="176"/>
      <c r="W98" s="443"/>
      <c r="X98" s="454"/>
      <c r="Y98" s="86"/>
      <c r="Z98" s="86"/>
      <c r="AA98" s="83"/>
      <c r="AB98" s="86"/>
      <c r="AC98" s="83"/>
    </row>
    <row r="99" spans="1:29" ht="12.75">
      <c r="A99" s="460"/>
      <c r="B99" s="211"/>
      <c r="C99" s="462">
        <v>4260</v>
      </c>
      <c r="D99" s="167" t="s">
        <v>27</v>
      </c>
      <c r="E99" s="474">
        <v>293</v>
      </c>
      <c r="U99" s="171"/>
      <c r="V99" s="176"/>
      <c r="W99" s="443"/>
      <c r="X99" s="454"/>
      <c r="Y99" s="83"/>
      <c r="Z99" s="86"/>
      <c r="AA99" s="83"/>
      <c r="AB99" s="83"/>
      <c r="AC99" s="83"/>
    </row>
    <row r="100" spans="1:29" ht="12.75">
      <c r="A100" s="460"/>
      <c r="B100" s="211"/>
      <c r="C100" s="462">
        <v>4300</v>
      </c>
      <c r="D100" s="167" t="s">
        <v>149</v>
      </c>
      <c r="E100" s="474">
        <v>194521</v>
      </c>
      <c r="U100" s="171"/>
      <c r="V100" s="176"/>
      <c r="W100" s="443"/>
      <c r="X100" s="454"/>
      <c r="Y100" s="86"/>
      <c r="Z100" s="86"/>
      <c r="AA100" s="83"/>
      <c r="AB100" s="86"/>
      <c r="AC100" s="83"/>
    </row>
    <row r="101" spans="1:29" s="177" customFormat="1" ht="12.75">
      <c r="A101" s="460"/>
      <c r="B101" s="34">
        <v>92109</v>
      </c>
      <c r="C101" s="107"/>
      <c r="D101" s="109" t="s">
        <v>177</v>
      </c>
      <c r="E101" s="466">
        <f>SUM(E102:E104)</f>
        <v>44450</v>
      </c>
      <c r="G101" s="170"/>
      <c r="H101" s="170"/>
      <c r="I101" s="170"/>
      <c r="J101" s="86"/>
      <c r="K101" s="178"/>
      <c r="O101" s="170"/>
      <c r="Q101" s="86"/>
      <c r="R101" s="179"/>
      <c r="V101" s="170"/>
      <c r="X101" s="86"/>
      <c r="Y101" s="86"/>
      <c r="Z101" s="86"/>
      <c r="AA101" s="86"/>
      <c r="AB101" s="86"/>
      <c r="AC101" s="86"/>
    </row>
    <row r="102" spans="1:29" ht="12.75">
      <c r="A102" s="460"/>
      <c r="B102" s="461"/>
      <c r="C102" s="462">
        <v>4210</v>
      </c>
      <c r="D102" s="167" t="s">
        <v>162</v>
      </c>
      <c r="E102" s="463">
        <v>22749</v>
      </c>
      <c r="W102" s="443"/>
      <c r="X102" s="454"/>
      <c r="Y102" s="454"/>
      <c r="Z102" s="454"/>
      <c r="AA102" s="454"/>
      <c r="AB102" s="454"/>
      <c r="AC102" s="454"/>
    </row>
    <row r="103" spans="1:29" ht="12.75">
      <c r="A103" s="460"/>
      <c r="B103" s="461"/>
      <c r="C103" s="462">
        <v>4270</v>
      </c>
      <c r="D103" s="167" t="s">
        <v>172</v>
      </c>
      <c r="E103" s="463">
        <v>1000</v>
      </c>
      <c r="W103" s="443"/>
      <c r="X103" s="454"/>
      <c r="Y103" s="454"/>
      <c r="Z103" s="454"/>
      <c r="AA103" s="454"/>
      <c r="AB103" s="454"/>
      <c r="AC103" s="454"/>
    </row>
    <row r="104" spans="1:29" ht="12.75">
      <c r="A104" s="460"/>
      <c r="B104" s="461"/>
      <c r="C104" s="462">
        <v>4300</v>
      </c>
      <c r="D104" s="167" t="s">
        <v>149</v>
      </c>
      <c r="E104" s="463">
        <v>20701</v>
      </c>
      <c r="W104" s="443"/>
      <c r="X104" s="454"/>
      <c r="Y104" s="454"/>
      <c r="Z104" s="454"/>
      <c r="AA104" s="454"/>
      <c r="AB104" s="454"/>
      <c r="AC104" s="454"/>
    </row>
    <row r="105" spans="1:29" s="177" customFormat="1" ht="12.75">
      <c r="A105" s="460"/>
      <c r="B105" s="34">
        <v>92195</v>
      </c>
      <c r="C105" s="107"/>
      <c r="D105" s="109" t="s">
        <v>145</v>
      </c>
      <c r="E105" s="466">
        <f>SUM(E106:E108)</f>
        <v>226716</v>
      </c>
      <c r="G105" s="170"/>
      <c r="H105" s="170"/>
      <c r="I105" s="170"/>
      <c r="J105" s="86"/>
      <c r="K105" s="178"/>
      <c r="O105" s="170"/>
      <c r="Q105" s="86"/>
      <c r="R105" s="179"/>
      <c r="V105" s="170"/>
      <c r="X105" s="86"/>
      <c r="Y105" s="86"/>
      <c r="Z105" s="86"/>
      <c r="AA105" s="86"/>
      <c r="AB105" s="86"/>
      <c r="AC105" s="86"/>
    </row>
    <row r="106" spans="1:29" ht="12.75">
      <c r="A106" s="460"/>
      <c r="B106" s="461"/>
      <c r="C106" s="462">
        <v>4210</v>
      </c>
      <c r="D106" s="167" t="s">
        <v>162</v>
      </c>
      <c r="E106" s="463">
        <v>110262</v>
      </c>
      <c r="W106" s="443"/>
      <c r="X106" s="454"/>
      <c r="Y106" s="454"/>
      <c r="Z106" s="454"/>
      <c r="AA106" s="454"/>
      <c r="AB106" s="86"/>
      <c r="AC106" s="454"/>
    </row>
    <row r="107" spans="1:29" ht="12.75">
      <c r="A107" s="460"/>
      <c r="B107" s="461"/>
      <c r="C107" s="462">
        <v>4300</v>
      </c>
      <c r="D107" s="167" t="s">
        <v>149</v>
      </c>
      <c r="E107" s="463">
        <v>116394</v>
      </c>
      <c r="W107" s="443"/>
      <c r="X107" s="454"/>
      <c r="Y107" s="454"/>
      <c r="Z107" s="86"/>
      <c r="AA107" s="454"/>
      <c r="AB107" s="454"/>
      <c r="AC107" s="454"/>
    </row>
    <row r="108" spans="1:29" ht="13.5" thickBot="1">
      <c r="A108" s="460"/>
      <c r="B108" s="461"/>
      <c r="C108" s="462">
        <v>4410</v>
      </c>
      <c r="D108" s="167" t="s">
        <v>28</v>
      </c>
      <c r="E108" s="463">
        <v>60</v>
      </c>
      <c r="W108" s="443"/>
      <c r="X108" s="454"/>
      <c r="Y108" s="454"/>
      <c r="Z108" s="454"/>
      <c r="AA108" s="454"/>
      <c r="AB108" s="454"/>
      <c r="AC108" s="454"/>
    </row>
    <row r="109" spans="1:29" ht="13.5" thickBot="1">
      <c r="A109" s="180">
        <v>926</v>
      </c>
      <c r="B109" s="210"/>
      <c r="C109" s="168"/>
      <c r="D109" s="169" t="s">
        <v>108</v>
      </c>
      <c r="E109" s="464">
        <f>E110+E113</f>
        <v>935028</v>
      </c>
      <c r="F109" s="175"/>
      <c r="J109" s="83"/>
      <c r="O109" s="443"/>
      <c r="Q109" s="454"/>
      <c r="R109" s="455"/>
      <c r="U109" s="171"/>
      <c r="V109" s="176"/>
      <c r="W109" s="176"/>
      <c r="X109" s="83"/>
      <c r="Y109" s="83"/>
      <c r="Z109" s="83"/>
      <c r="AA109" s="83"/>
      <c r="AB109" s="83"/>
      <c r="AC109" s="83"/>
    </row>
    <row r="110" spans="1:29" s="177" customFormat="1" ht="12.75">
      <c r="A110" s="460"/>
      <c r="B110" s="81">
        <v>92601</v>
      </c>
      <c r="C110" s="107"/>
      <c r="D110" s="109" t="s">
        <v>178</v>
      </c>
      <c r="E110" s="466">
        <f>SUM(E111:E112)</f>
        <v>10294</v>
      </c>
      <c r="G110" s="170"/>
      <c r="H110" s="170"/>
      <c r="I110" s="170"/>
      <c r="J110" s="86"/>
      <c r="K110" s="178"/>
      <c r="O110" s="170"/>
      <c r="Q110" s="86"/>
      <c r="R110" s="179"/>
      <c r="V110" s="170"/>
      <c r="X110" s="86"/>
      <c r="Y110" s="86"/>
      <c r="Z110" s="86"/>
      <c r="AA110" s="86"/>
      <c r="AB110" s="86"/>
      <c r="AC110" s="86"/>
    </row>
    <row r="111" spans="1:29" ht="12.75">
      <c r="A111" s="460"/>
      <c r="B111" s="461"/>
      <c r="C111" s="462">
        <v>4210</v>
      </c>
      <c r="D111" s="167" t="s">
        <v>162</v>
      </c>
      <c r="E111" s="463">
        <v>2000</v>
      </c>
      <c r="W111" s="443"/>
      <c r="X111" s="454"/>
      <c r="Y111" s="454"/>
      <c r="Z111" s="454"/>
      <c r="AA111" s="454"/>
      <c r="AB111" s="86"/>
      <c r="AC111" s="454"/>
    </row>
    <row r="112" spans="1:29" ht="12.75">
      <c r="A112" s="460"/>
      <c r="B112" s="461"/>
      <c r="C112" s="462">
        <v>4270</v>
      </c>
      <c r="D112" s="167" t="s">
        <v>2</v>
      </c>
      <c r="E112" s="463">
        <v>8294</v>
      </c>
      <c r="W112" s="443"/>
      <c r="X112" s="454"/>
      <c r="Y112" s="454"/>
      <c r="Z112" s="454"/>
      <c r="AA112" s="454"/>
      <c r="AB112" s="454"/>
      <c r="AC112" s="454"/>
    </row>
    <row r="113" spans="1:29" s="177" customFormat="1" ht="12.75">
      <c r="A113" s="460"/>
      <c r="B113" s="34">
        <v>92695</v>
      </c>
      <c r="C113" s="107"/>
      <c r="D113" s="109" t="s">
        <v>145</v>
      </c>
      <c r="E113" s="466">
        <f>SUM(E114:E119)</f>
        <v>924734</v>
      </c>
      <c r="G113" s="170"/>
      <c r="H113" s="170"/>
      <c r="I113" s="170"/>
      <c r="J113" s="86"/>
      <c r="K113" s="178"/>
      <c r="O113" s="170"/>
      <c r="Q113" s="86"/>
      <c r="R113" s="179"/>
      <c r="V113" s="170"/>
      <c r="X113" s="86"/>
      <c r="Y113" s="86"/>
      <c r="Z113" s="86"/>
      <c r="AA113" s="86"/>
      <c r="AB113" s="86"/>
      <c r="AC113" s="86"/>
    </row>
    <row r="114" spans="1:29" ht="12.75">
      <c r="A114" s="460"/>
      <c r="B114" s="461"/>
      <c r="C114" s="462">
        <v>2630</v>
      </c>
      <c r="D114" s="167" t="s">
        <v>167</v>
      </c>
      <c r="E114" s="463">
        <v>8000</v>
      </c>
      <c r="V114" s="443"/>
      <c r="W114" s="443"/>
      <c r="X114" s="454"/>
      <c r="Y114" s="454"/>
      <c r="Z114" s="454"/>
      <c r="AA114" s="454"/>
      <c r="AB114" s="454"/>
      <c r="AC114" s="454"/>
    </row>
    <row r="115" spans="1:29" ht="12.75">
      <c r="A115" s="460"/>
      <c r="B115" s="461"/>
      <c r="C115" s="462">
        <v>4210</v>
      </c>
      <c r="D115" s="167" t="s">
        <v>162</v>
      </c>
      <c r="E115" s="463">
        <v>286749</v>
      </c>
      <c r="W115" s="443"/>
      <c r="X115" s="454"/>
      <c r="Y115" s="454"/>
      <c r="Z115" s="454"/>
      <c r="AA115" s="454"/>
      <c r="AB115" s="454"/>
      <c r="AC115" s="454"/>
    </row>
    <row r="116" spans="1:29" ht="12.75">
      <c r="A116" s="460"/>
      <c r="B116" s="461"/>
      <c r="C116" s="462">
        <v>4270</v>
      </c>
      <c r="D116" s="167" t="s">
        <v>2</v>
      </c>
      <c r="E116" s="463">
        <v>0</v>
      </c>
      <c r="W116" s="443"/>
      <c r="X116" s="454"/>
      <c r="Y116" s="454"/>
      <c r="Z116" s="454"/>
      <c r="AA116" s="454"/>
      <c r="AB116" s="454"/>
      <c r="AC116" s="454"/>
    </row>
    <row r="117" spans="1:29" ht="12.75">
      <c r="A117" s="460"/>
      <c r="B117" s="461"/>
      <c r="C117" s="462">
        <v>4300</v>
      </c>
      <c r="D117" s="167" t="s">
        <v>149</v>
      </c>
      <c r="E117" s="463">
        <v>354907</v>
      </c>
      <c r="W117" s="443"/>
      <c r="X117" s="454"/>
      <c r="Y117" s="454"/>
      <c r="Z117" s="454"/>
      <c r="AA117" s="454"/>
      <c r="AB117" s="454"/>
      <c r="AC117" s="454"/>
    </row>
    <row r="118" spans="1:29" ht="12.75">
      <c r="A118" s="460"/>
      <c r="B118" s="461"/>
      <c r="C118" s="462">
        <v>4410</v>
      </c>
      <c r="D118" s="167" t="s">
        <v>28</v>
      </c>
      <c r="E118" s="463">
        <v>60</v>
      </c>
      <c r="W118" s="443"/>
      <c r="X118" s="454"/>
      <c r="Y118" s="454"/>
      <c r="Z118" s="454"/>
      <c r="AA118" s="454"/>
      <c r="AB118" s="454"/>
      <c r="AC118" s="454"/>
    </row>
    <row r="119" spans="1:28" ht="13.5" thickBot="1">
      <c r="A119" s="468"/>
      <c r="B119" s="469"/>
      <c r="C119" s="470">
        <v>6050</v>
      </c>
      <c r="D119" s="471" t="s">
        <v>174</v>
      </c>
      <c r="E119" s="472">
        <v>275018</v>
      </c>
      <c r="W119" s="443"/>
      <c r="X119" s="454"/>
      <c r="Y119" s="454"/>
      <c r="Z119" s="454"/>
      <c r="AA119" s="454"/>
      <c r="AB119" s="454"/>
    </row>
  </sheetData>
  <mergeCells count="3">
    <mergeCell ref="F3:K3"/>
    <mergeCell ref="Y3:Z3"/>
    <mergeCell ref="C1:D1"/>
  </mergeCells>
  <printOptions horizontalCentered="1"/>
  <pageMargins left="0.7480314960629921" right="0.3937007874015748" top="0.5118110236220472" bottom="0.3937007874015748" header="0.5118110236220472" footer="0.6299212598425197"/>
  <pageSetup fitToHeight="2" fitToWidth="1" horizontalDpi="300" verticalDpi="300" orientation="portrait" paperSize="9" scale="94" r:id="rId1"/>
  <rowBreaks count="1" manualBreakCount="1">
    <brk id="59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39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5.421875" style="258" customWidth="1"/>
    <col min="2" max="2" width="6.140625" style="258" customWidth="1"/>
    <col min="3" max="3" width="5.140625" style="258" customWidth="1"/>
    <col min="4" max="4" width="52.00390625" style="258" customWidth="1"/>
    <col min="5" max="5" width="20.421875" style="17" customWidth="1"/>
    <col min="6" max="6" width="9.140625" style="258" customWidth="1"/>
    <col min="7" max="7" width="9.7109375" style="258" customWidth="1"/>
    <col min="8" max="16384" width="9.140625" style="258" customWidth="1"/>
  </cols>
  <sheetData>
    <row r="1" spans="1:5" s="17" customFormat="1" ht="84.75" customHeight="1" thickBot="1">
      <c r="A1" s="574" t="s">
        <v>406</v>
      </c>
      <c r="E1" s="18" t="s">
        <v>409</v>
      </c>
    </row>
    <row r="2" spans="1:5" ht="15" thickBot="1">
      <c r="A2" s="327"/>
      <c r="C2" s="328"/>
      <c r="D2" s="28"/>
      <c r="E2" s="21">
        <f>E5+E23+E27+E42+E64+E69+E77+E120+E126+E155+E169+E189+E220+E243+E264+E278+E290+E295+E303+E309+E320+E332+E337+E345+E350+E357+E367+E389+E399+E404+E414+E426+E435</f>
        <v>503714829.04</v>
      </c>
    </row>
    <row r="3" spans="1:3" ht="9.75" customHeight="1" thickBot="1">
      <c r="A3" s="17"/>
      <c r="C3" s="328"/>
    </row>
    <row r="4" spans="1:5" s="61" customFormat="1" ht="23.25" thickBot="1">
      <c r="A4" s="23" t="s">
        <v>115</v>
      </c>
      <c r="B4" s="24" t="s">
        <v>116</v>
      </c>
      <c r="C4" s="24" t="s">
        <v>117</v>
      </c>
      <c r="D4" s="530" t="s">
        <v>118</v>
      </c>
      <c r="E4" s="329" t="s">
        <v>119</v>
      </c>
    </row>
    <row r="5" spans="1:5" s="88" customFormat="1" ht="15" thickBot="1">
      <c r="A5" s="579" t="s">
        <v>262</v>
      </c>
      <c r="B5" s="580"/>
      <c r="C5" s="580"/>
      <c r="D5" s="581"/>
      <c r="E5" s="87">
        <f>E6+E9+E18</f>
        <v>4117587</v>
      </c>
    </row>
    <row r="6" spans="1:5" s="17" customFormat="1" ht="12.75">
      <c r="A6" s="29">
        <v>758</v>
      </c>
      <c r="B6" s="30"/>
      <c r="C6" s="30"/>
      <c r="D6" s="31" t="s">
        <v>52</v>
      </c>
      <c r="E6" s="32">
        <f>E7</f>
        <v>4101887</v>
      </c>
    </row>
    <row r="7" spans="1:5" s="17" customFormat="1" ht="12.75">
      <c r="A7" s="33"/>
      <c r="B7" s="330">
        <v>75818</v>
      </c>
      <c r="C7" s="81"/>
      <c r="D7" s="331" t="s">
        <v>56</v>
      </c>
      <c r="E7" s="82">
        <f>E8</f>
        <v>4101887</v>
      </c>
    </row>
    <row r="8" spans="1:7" s="17" customFormat="1" ht="12.75">
      <c r="A8" s="300"/>
      <c r="B8" s="332"/>
      <c r="C8" s="67">
        <v>4810</v>
      </c>
      <c r="D8" s="90" t="s">
        <v>57</v>
      </c>
      <c r="E8" s="39">
        <v>4101887</v>
      </c>
      <c r="G8" s="105"/>
    </row>
    <row r="9" spans="1:5" s="17" customFormat="1" ht="12.75">
      <c r="A9" s="315">
        <v>801</v>
      </c>
      <c r="B9" s="71"/>
      <c r="C9" s="71"/>
      <c r="D9" s="316" t="s">
        <v>59</v>
      </c>
      <c r="E9" s="317">
        <f>E10+E12+E14+E16</f>
        <v>15700</v>
      </c>
    </row>
    <row r="10" spans="1:5" s="17" customFormat="1" ht="12.75">
      <c r="A10" s="33" t="s">
        <v>194</v>
      </c>
      <c r="B10" s="34">
        <v>80101</v>
      </c>
      <c r="C10" s="34"/>
      <c r="D10" s="247" t="s">
        <v>60</v>
      </c>
      <c r="E10" s="35">
        <f>E11</f>
        <v>15700</v>
      </c>
    </row>
    <row r="11" spans="1:6" s="17" customFormat="1" ht="13.5" thickBot="1">
      <c r="A11" s="65"/>
      <c r="B11" s="77"/>
      <c r="C11" s="67">
        <v>4810</v>
      </c>
      <c r="D11" s="90" t="s">
        <v>57</v>
      </c>
      <c r="E11" s="39">
        <f>2358280-29000-44000-72500-19000-2178080</f>
        <v>15700</v>
      </c>
      <c r="F11" s="319"/>
    </row>
    <row r="12" spans="1:5" s="17" customFormat="1" ht="12.75" hidden="1">
      <c r="A12" s="33"/>
      <c r="B12" s="34">
        <v>80104</v>
      </c>
      <c r="C12" s="81"/>
      <c r="D12" s="247" t="s">
        <v>218</v>
      </c>
      <c r="E12" s="35">
        <f>E13</f>
        <v>0</v>
      </c>
    </row>
    <row r="13" spans="1:5" s="17" customFormat="1" ht="12.75" hidden="1">
      <c r="A13" s="65"/>
      <c r="B13" s="77"/>
      <c r="C13" s="67">
        <v>4810</v>
      </c>
      <c r="D13" s="90" t="s">
        <v>57</v>
      </c>
      <c r="E13" s="39">
        <f>14823-14823</f>
        <v>0</v>
      </c>
    </row>
    <row r="14" spans="1:5" s="17" customFormat="1" ht="12.75" hidden="1">
      <c r="A14" s="33" t="s">
        <v>196</v>
      </c>
      <c r="B14" s="34">
        <v>80110</v>
      </c>
      <c r="C14" s="81"/>
      <c r="D14" s="247" t="s">
        <v>63</v>
      </c>
      <c r="E14" s="35">
        <f>E15</f>
        <v>0</v>
      </c>
    </row>
    <row r="15" spans="1:5" s="17" customFormat="1" ht="12.75" hidden="1">
      <c r="A15" s="65"/>
      <c r="B15" s="77"/>
      <c r="C15" s="67">
        <v>4810</v>
      </c>
      <c r="D15" s="90" t="s">
        <v>57</v>
      </c>
      <c r="E15" s="39">
        <f>1292804-10000-1282804</f>
        <v>0</v>
      </c>
    </row>
    <row r="16" spans="1:5" s="17" customFormat="1" ht="12.75" hidden="1">
      <c r="A16" s="33" t="s">
        <v>196</v>
      </c>
      <c r="B16" s="34">
        <v>80195</v>
      </c>
      <c r="C16" s="81"/>
      <c r="D16" s="247" t="s">
        <v>5</v>
      </c>
      <c r="E16" s="35">
        <f>E17</f>
        <v>0</v>
      </c>
    </row>
    <row r="17" spans="1:5" s="17" customFormat="1" ht="12.75" hidden="1">
      <c r="A17" s="65"/>
      <c r="B17" s="77"/>
      <c r="C17" s="67">
        <v>4810</v>
      </c>
      <c r="D17" s="90" t="s">
        <v>57</v>
      </c>
      <c r="E17" s="39">
        <f>300000-300000</f>
        <v>0</v>
      </c>
    </row>
    <row r="18" spans="1:5" s="17" customFormat="1" ht="12.75" hidden="1">
      <c r="A18" s="333">
        <v>854</v>
      </c>
      <c r="B18" s="107"/>
      <c r="C18" s="71"/>
      <c r="D18" s="316" t="s">
        <v>85</v>
      </c>
      <c r="E18" s="334">
        <f>E19+E21</f>
        <v>0</v>
      </c>
    </row>
    <row r="19" spans="1:7" s="17" customFormat="1" ht="12.75" hidden="1">
      <c r="A19" s="33"/>
      <c r="B19" s="34">
        <v>85401</v>
      </c>
      <c r="C19" s="34"/>
      <c r="D19" s="247" t="s">
        <v>86</v>
      </c>
      <c r="E19" s="35">
        <f>E20</f>
        <v>0</v>
      </c>
      <c r="F19" s="105"/>
      <c r="G19" s="105"/>
    </row>
    <row r="20" spans="1:7" s="17" customFormat="1" ht="12.75" hidden="1">
      <c r="A20" s="65"/>
      <c r="B20" s="77"/>
      <c r="C20" s="67">
        <v>4810</v>
      </c>
      <c r="D20" s="90" t="s">
        <v>57</v>
      </c>
      <c r="E20" s="165">
        <f>103010-103010</f>
        <v>0</v>
      </c>
      <c r="G20" s="105"/>
    </row>
    <row r="21" spans="1:5" s="17" customFormat="1" ht="12.75" hidden="1">
      <c r="A21" s="33"/>
      <c r="B21" s="34">
        <v>85405</v>
      </c>
      <c r="C21" s="81"/>
      <c r="D21" s="335" t="s">
        <v>89</v>
      </c>
      <c r="E21" s="35">
        <f>E22</f>
        <v>0</v>
      </c>
    </row>
    <row r="22" spans="1:5" s="17" customFormat="1" ht="13.5" hidden="1" thickBot="1">
      <c r="A22" s="112"/>
      <c r="B22" s="93"/>
      <c r="C22" s="45">
        <v>4810</v>
      </c>
      <c r="D22" s="336" t="s">
        <v>57</v>
      </c>
      <c r="E22" s="44">
        <f>21863-21863</f>
        <v>0</v>
      </c>
    </row>
    <row r="23" spans="1:5" s="28" customFormat="1" ht="13.5" thickBot="1">
      <c r="A23" s="582" t="s">
        <v>263</v>
      </c>
      <c r="B23" s="583"/>
      <c r="C23" s="583"/>
      <c r="D23" s="584"/>
      <c r="E23" s="27">
        <f>E24</f>
        <v>292200</v>
      </c>
    </row>
    <row r="24" spans="1:9" s="17" customFormat="1" ht="12.75">
      <c r="A24" s="29">
        <v>750</v>
      </c>
      <c r="B24" s="30"/>
      <c r="C24" s="30"/>
      <c r="D24" s="31" t="s">
        <v>22</v>
      </c>
      <c r="E24" s="32">
        <f>E25</f>
        <v>292200</v>
      </c>
      <c r="F24" s="262"/>
      <c r="G24" s="262"/>
      <c r="H24" s="263"/>
      <c r="I24" s="264"/>
    </row>
    <row r="25" spans="1:9" s="17" customFormat="1" ht="12.75">
      <c r="A25" s="50"/>
      <c r="B25" s="34">
        <v>75023</v>
      </c>
      <c r="C25" s="34"/>
      <c r="D25" s="250" t="s">
        <v>245</v>
      </c>
      <c r="E25" s="35">
        <f>SUM(E26:E26)</f>
        <v>292200</v>
      </c>
      <c r="F25" s="265"/>
      <c r="G25" s="265"/>
      <c r="H25" s="265"/>
      <c r="I25" s="95"/>
    </row>
    <row r="26" spans="1:9" s="17" customFormat="1" ht="13.5" thickBot="1">
      <c r="A26" s="33"/>
      <c r="B26" s="36"/>
      <c r="C26" s="37">
        <v>4300</v>
      </c>
      <c r="D26" s="76" t="s">
        <v>8</v>
      </c>
      <c r="E26" s="39">
        <v>292200</v>
      </c>
      <c r="F26" s="95"/>
      <c r="G26" s="95"/>
      <c r="H26" s="95"/>
      <c r="I26" s="95"/>
    </row>
    <row r="27" spans="1:5" s="88" customFormat="1" ht="15" thickBot="1">
      <c r="A27" s="579" t="s">
        <v>179</v>
      </c>
      <c r="B27" s="580"/>
      <c r="C27" s="580"/>
      <c r="D27" s="581"/>
      <c r="E27" s="87">
        <f>E28</f>
        <v>2761580</v>
      </c>
    </row>
    <row r="28" spans="1:5" s="17" customFormat="1" ht="12.75">
      <c r="A28" s="29">
        <v>750</v>
      </c>
      <c r="B28" s="30"/>
      <c r="C28" s="30"/>
      <c r="D28" s="89" t="s">
        <v>22</v>
      </c>
      <c r="E28" s="32">
        <f>E29</f>
        <v>2761580</v>
      </c>
    </row>
    <row r="29" spans="1:5" s="17" customFormat="1" ht="12.75">
      <c r="A29" s="33"/>
      <c r="B29" s="34">
        <v>75022</v>
      </c>
      <c r="C29" s="34"/>
      <c r="D29" s="250" t="s">
        <v>30</v>
      </c>
      <c r="E29" s="35">
        <f>SUM(E30:E41)</f>
        <v>2761580</v>
      </c>
    </row>
    <row r="30" spans="1:5" s="17" customFormat="1" ht="12.75">
      <c r="A30" s="33"/>
      <c r="B30" s="77"/>
      <c r="C30" s="37">
        <v>3030</v>
      </c>
      <c r="D30" s="90" t="s">
        <v>17</v>
      </c>
      <c r="E30" s="39">
        <v>1357000</v>
      </c>
    </row>
    <row r="31" spans="1:7" s="17" customFormat="1" ht="12.75">
      <c r="A31" s="33"/>
      <c r="B31" s="77"/>
      <c r="C31" s="37">
        <v>4010</v>
      </c>
      <c r="D31" s="90" t="s">
        <v>24</v>
      </c>
      <c r="E31" s="39">
        <v>580000</v>
      </c>
      <c r="G31" s="105"/>
    </row>
    <row r="32" spans="1:5" s="17" customFormat="1" ht="12.75">
      <c r="A32" s="33"/>
      <c r="B32" s="77"/>
      <c r="C32" s="37">
        <v>4040</v>
      </c>
      <c r="D32" s="90" t="s">
        <v>31</v>
      </c>
      <c r="E32" s="39">
        <v>34500</v>
      </c>
    </row>
    <row r="33" spans="1:7" s="17" customFormat="1" ht="12.75">
      <c r="A33" s="33"/>
      <c r="B33" s="77"/>
      <c r="C33" s="37">
        <v>4110</v>
      </c>
      <c r="D33" s="90" t="s">
        <v>25</v>
      </c>
      <c r="E33" s="39">
        <v>94450</v>
      </c>
      <c r="G33" s="105"/>
    </row>
    <row r="34" spans="1:7" s="17" customFormat="1" ht="12.75">
      <c r="A34" s="33"/>
      <c r="B34" s="77"/>
      <c r="C34" s="37">
        <v>4120</v>
      </c>
      <c r="D34" s="90" t="s">
        <v>26</v>
      </c>
      <c r="E34" s="39">
        <v>13630</v>
      </c>
      <c r="G34" s="105"/>
    </row>
    <row r="35" spans="1:5" s="17" customFormat="1" ht="12.75">
      <c r="A35" s="33"/>
      <c r="B35" s="77"/>
      <c r="C35" s="37">
        <v>4210</v>
      </c>
      <c r="D35" s="90" t="s">
        <v>7</v>
      </c>
      <c r="E35" s="39">
        <v>97000</v>
      </c>
    </row>
    <row r="36" spans="1:5" s="17" customFormat="1" ht="12.75">
      <c r="A36" s="33"/>
      <c r="B36" s="77"/>
      <c r="C36" s="37">
        <v>4270</v>
      </c>
      <c r="D36" s="90" t="s">
        <v>2</v>
      </c>
      <c r="E36" s="39">
        <v>180000</v>
      </c>
    </row>
    <row r="37" spans="1:5" s="17" customFormat="1" ht="12.75">
      <c r="A37" s="33"/>
      <c r="B37" s="77"/>
      <c r="C37" s="37">
        <v>4300</v>
      </c>
      <c r="D37" s="90" t="s">
        <v>8</v>
      </c>
      <c r="E37" s="39">
        <v>210000</v>
      </c>
    </row>
    <row r="38" spans="1:5" s="17" customFormat="1" ht="12.75">
      <c r="A38" s="33"/>
      <c r="B38" s="77"/>
      <c r="C38" s="37">
        <v>4410</v>
      </c>
      <c r="D38" s="90" t="s">
        <v>28</v>
      </c>
      <c r="E38" s="39">
        <v>50000</v>
      </c>
    </row>
    <row r="39" spans="1:5" s="17" customFormat="1" ht="12.75">
      <c r="A39" s="33"/>
      <c r="B39" s="77"/>
      <c r="C39" s="37">
        <v>4420</v>
      </c>
      <c r="D39" s="90" t="s">
        <v>32</v>
      </c>
      <c r="E39" s="39">
        <v>130000</v>
      </c>
    </row>
    <row r="40" spans="1:5" s="17" customFormat="1" ht="12.75">
      <c r="A40" s="33"/>
      <c r="B40" s="77"/>
      <c r="C40" s="37">
        <v>4430</v>
      </c>
      <c r="D40" s="90" t="s">
        <v>9</v>
      </c>
      <c r="E40" s="39">
        <v>5000</v>
      </c>
    </row>
    <row r="41" spans="1:7" s="17" customFormat="1" ht="13.5" thickBot="1">
      <c r="A41" s="33"/>
      <c r="B41" s="77"/>
      <c r="C41" s="37">
        <v>4440</v>
      </c>
      <c r="D41" s="90" t="s">
        <v>29</v>
      </c>
      <c r="E41" s="39">
        <v>10000</v>
      </c>
      <c r="G41" s="105"/>
    </row>
    <row r="42" spans="1:5" s="88" customFormat="1" ht="15" thickBot="1">
      <c r="A42" s="579" t="s">
        <v>180</v>
      </c>
      <c r="B42" s="580"/>
      <c r="C42" s="580"/>
      <c r="D42" s="581"/>
      <c r="E42" s="87">
        <f>E43+E60</f>
        <v>63990684</v>
      </c>
    </row>
    <row r="43" spans="1:9" s="17" customFormat="1" ht="12.75">
      <c r="A43" s="29">
        <v>750</v>
      </c>
      <c r="B43" s="30"/>
      <c r="C43" s="30"/>
      <c r="D43" s="31" t="s">
        <v>22</v>
      </c>
      <c r="E43" s="32">
        <f>E44</f>
        <v>63700684</v>
      </c>
      <c r="F43" s="262"/>
      <c r="G43" s="262"/>
      <c r="H43" s="263"/>
      <c r="I43" s="264"/>
    </row>
    <row r="44" spans="1:9" s="17" customFormat="1" ht="12.75">
      <c r="A44" s="50"/>
      <c r="B44" s="34">
        <v>75023</v>
      </c>
      <c r="C44" s="34"/>
      <c r="D44" s="250" t="s">
        <v>245</v>
      </c>
      <c r="E44" s="35">
        <f>SUM(E45:E59)</f>
        <v>63700684</v>
      </c>
      <c r="F44" s="265"/>
      <c r="G44" s="265"/>
      <c r="H44" s="265"/>
      <c r="I44" s="95"/>
    </row>
    <row r="45" spans="1:5" s="61" customFormat="1" ht="12.75">
      <c r="A45" s="302"/>
      <c r="B45" s="340"/>
      <c r="C45" s="37">
        <v>4010</v>
      </c>
      <c r="D45" s="90" t="s">
        <v>24</v>
      </c>
      <c r="E45" s="39">
        <v>34935165</v>
      </c>
    </row>
    <row r="46" spans="1:5" s="61" customFormat="1" ht="12.75">
      <c r="A46" s="302"/>
      <c r="B46" s="340"/>
      <c r="C46" s="37">
        <v>4040</v>
      </c>
      <c r="D46" s="90" t="s">
        <v>31</v>
      </c>
      <c r="E46" s="39">
        <v>2604049</v>
      </c>
    </row>
    <row r="47" spans="1:5" s="61" customFormat="1" ht="12.75">
      <c r="A47" s="302"/>
      <c r="B47" s="340"/>
      <c r="C47" s="37">
        <v>4110</v>
      </c>
      <c r="D47" s="90" t="s">
        <v>25</v>
      </c>
      <c r="E47" s="39">
        <v>6470797</v>
      </c>
    </row>
    <row r="48" spans="1:5" s="61" customFormat="1" ht="12.75">
      <c r="A48" s="302"/>
      <c r="B48" s="340"/>
      <c r="C48" s="37">
        <v>4120</v>
      </c>
      <c r="D48" s="90" t="s">
        <v>26</v>
      </c>
      <c r="E48" s="39">
        <v>886701</v>
      </c>
    </row>
    <row r="49" spans="1:9" s="17" customFormat="1" ht="25.5">
      <c r="A49" s="33"/>
      <c r="B49" s="36"/>
      <c r="C49" s="37">
        <v>4140</v>
      </c>
      <c r="D49" s="76" t="s">
        <v>230</v>
      </c>
      <c r="E49" s="39">
        <v>26100</v>
      </c>
      <c r="F49" s="95"/>
      <c r="G49" s="95"/>
      <c r="H49" s="95"/>
      <c r="I49" s="95"/>
    </row>
    <row r="50" spans="1:9" s="17" customFormat="1" ht="12.75">
      <c r="A50" s="33"/>
      <c r="B50" s="36"/>
      <c r="C50" s="37">
        <v>4210</v>
      </c>
      <c r="D50" s="76" t="s">
        <v>7</v>
      </c>
      <c r="E50" s="39">
        <f>524030+2573000+17000</f>
        <v>3114030</v>
      </c>
      <c r="F50" s="95"/>
      <c r="G50" s="95"/>
      <c r="H50" s="95"/>
      <c r="I50" s="95"/>
    </row>
    <row r="51" spans="1:9" s="17" customFormat="1" ht="12.75">
      <c r="A51" s="33"/>
      <c r="B51" s="36"/>
      <c r="C51" s="37">
        <v>4260</v>
      </c>
      <c r="D51" s="76" t="s">
        <v>27</v>
      </c>
      <c r="E51" s="39">
        <f>74300+1824000</f>
        <v>1898300</v>
      </c>
      <c r="F51" s="95"/>
      <c r="G51" s="95"/>
      <c r="H51" s="95"/>
      <c r="I51" s="95"/>
    </row>
    <row r="52" spans="1:9" s="17" customFormat="1" ht="12.75">
      <c r="A52" s="33"/>
      <c r="B52" s="36"/>
      <c r="C52" s="37">
        <v>4270</v>
      </c>
      <c r="D52" s="76" t="s">
        <v>2</v>
      </c>
      <c r="E52" s="39">
        <v>1156700</v>
      </c>
      <c r="F52" s="95"/>
      <c r="G52" s="95"/>
      <c r="H52" s="95"/>
      <c r="I52" s="95"/>
    </row>
    <row r="53" spans="1:9" s="17" customFormat="1" ht="12.75">
      <c r="A53" s="33"/>
      <c r="B53" s="36"/>
      <c r="C53" s="37">
        <v>4280</v>
      </c>
      <c r="D53" s="76" t="s">
        <v>78</v>
      </c>
      <c r="E53" s="39">
        <v>31350</v>
      </c>
      <c r="F53" s="95"/>
      <c r="G53" s="95"/>
      <c r="H53" s="95"/>
      <c r="I53" s="95"/>
    </row>
    <row r="54" spans="1:9" s="17" customFormat="1" ht="12.75">
      <c r="A54" s="33"/>
      <c r="B54" s="36"/>
      <c r="C54" s="37">
        <v>4300</v>
      </c>
      <c r="D54" s="76" t="s">
        <v>8</v>
      </c>
      <c r="E54" s="39">
        <f>3209621+7250873+260000+210500</f>
        <v>10930994</v>
      </c>
      <c r="F54" s="95"/>
      <c r="G54" s="95"/>
      <c r="H54" s="95"/>
      <c r="I54" s="95"/>
    </row>
    <row r="55" spans="1:9" s="17" customFormat="1" ht="12.75">
      <c r="A55" s="33"/>
      <c r="B55" s="36"/>
      <c r="C55" s="37">
        <v>4410</v>
      </c>
      <c r="D55" s="76" t="s">
        <v>28</v>
      </c>
      <c r="E55" s="39">
        <f>763844+145000</f>
        <v>908844</v>
      </c>
      <c r="F55" s="95"/>
      <c r="G55" s="95"/>
      <c r="H55" s="95"/>
      <c r="I55" s="95"/>
    </row>
    <row r="56" spans="1:5" s="61" customFormat="1" ht="12.75">
      <c r="A56" s="302"/>
      <c r="B56" s="340"/>
      <c r="C56" s="37">
        <v>4420</v>
      </c>
      <c r="D56" s="90" t="s">
        <v>32</v>
      </c>
      <c r="E56" s="39">
        <v>2500</v>
      </c>
    </row>
    <row r="57" spans="1:9" s="17" customFormat="1" ht="12.75">
      <c r="A57" s="33"/>
      <c r="B57" s="36"/>
      <c r="C57" s="288">
        <v>4430</v>
      </c>
      <c r="D57" s="289" t="s">
        <v>9</v>
      </c>
      <c r="E57" s="39">
        <v>95000</v>
      </c>
      <c r="F57" s="95"/>
      <c r="G57" s="95"/>
      <c r="H57" s="95"/>
      <c r="I57" s="95"/>
    </row>
    <row r="58" spans="1:9" s="17" customFormat="1" ht="12.75">
      <c r="A58" s="33"/>
      <c r="B58" s="36"/>
      <c r="C58" s="37">
        <v>4440</v>
      </c>
      <c r="D58" s="76" t="s">
        <v>29</v>
      </c>
      <c r="E58" s="39">
        <v>620154</v>
      </c>
      <c r="F58" s="95"/>
      <c r="G58" s="95"/>
      <c r="H58" s="95"/>
      <c r="I58" s="95"/>
    </row>
    <row r="59" spans="1:9" s="17" customFormat="1" ht="13.5" thickBot="1">
      <c r="A59" s="40"/>
      <c r="B59" s="41"/>
      <c r="C59" s="42">
        <v>4590</v>
      </c>
      <c r="D59" s="53" t="s">
        <v>34</v>
      </c>
      <c r="E59" s="44">
        <v>20000</v>
      </c>
      <c r="F59" s="95"/>
      <c r="G59" s="95"/>
      <c r="H59" s="95"/>
      <c r="I59" s="95"/>
    </row>
    <row r="60" spans="1:5" s="73" customFormat="1" ht="25.5">
      <c r="A60" s="360">
        <v>751</v>
      </c>
      <c r="B60" s="418"/>
      <c r="C60" s="418"/>
      <c r="D60" s="31" t="s">
        <v>41</v>
      </c>
      <c r="E60" s="548">
        <f>E61</f>
        <v>290000</v>
      </c>
    </row>
    <row r="61" spans="1:5" s="17" customFormat="1" ht="25.5">
      <c r="A61" s="65"/>
      <c r="B61" s="117">
        <v>75109</v>
      </c>
      <c r="C61" s="34"/>
      <c r="D61" s="247" t="s">
        <v>404</v>
      </c>
      <c r="E61" s="35">
        <f>SUM(E62:E63)</f>
        <v>290000</v>
      </c>
    </row>
    <row r="62" spans="1:5" s="61" customFormat="1" ht="12.75" customHeight="1">
      <c r="A62" s="302"/>
      <c r="B62" s="340"/>
      <c r="C62" s="37" t="s">
        <v>399</v>
      </c>
      <c r="D62" s="90" t="s">
        <v>7</v>
      </c>
      <c r="E62" s="39">
        <v>90000</v>
      </c>
    </row>
    <row r="63" spans="1:5" s="61" customFormat="1" ht="12.75" customHeight="1" thickBot="1">
      <c r="A63" s="312"/>
      <c r="B63" s="551"/>
      <c r="C63" s="42" t="s">
        <v>307</v>
      </c>
      <c r="D63" s="336" t="s">
        <v>8</v>
      </c>
      <c r="E63" s="44">
        <v>200000</v>
      </c>
    </row>
    <row r="64" spans="1:5" s="28" customFormat="1" ht="13.5" thickBot="1">
      <c r="A64" s="579" t="s">
        <v>181</v>
      </c>
      <c r="B64" s="580"/>
      <c r="C64" s="580"/>
      <c r="D64" s="581"/>
      <c r="E64" s="87">
        <f>E65</f>
        <v>417000</v>
      </c>
    </row>
    <row r="65" spans="1:5" s="17" customFormat="1" ht="12.75">
      <c r="A65" s="29">
        <v>750</v>
      </c>
      <c r="B65" s="30"/>
      <c r="C65" s="30"/>
      <c r="D65" s="89" t="s">
        <v>22</v>
      </c>
      <c r="E65" s="32">
        <f>E66</f>
        <v>417000</v>
      </c>
    </row>
    <row r="66" spans="1:5" s="17" customFormat="1" ht="12.75">
      <c r="A66" s="33"/>
      <c r="B66" s="34">
        <v>75023</v>
      </c>
      <c r="C66" s="34"/>
      <c r="D66" s="250" t="s">
        <v>245</v>
      </c>
      <c r="E66" s="35">
        <f>SUM(E67:E68)</f>
        <v>417000</v>
      </c>
    </row>
    <row r="67" spans="1:7" s="17" customFormat="1" ht="12.75">
      <c r="A67" s="33"/>
      <c r="B67" s="36"/>
      <c r="C67" s="37">
        <v>4210</v>
      </c>
      <c r="D67" s="90" t="s">
        <v>7</v>
      </c>
      <c r="E67" s="39">
        <f>3000+6000</f>
        <v>9000</v>
      </c>
      <c r="G67" s="105"/>
    </row>
    <row r="68" spans="1:5" s="17" customFormat="1" ht="13.5" thickBot="1">
      <c r="A68" s="33"/>
      <c r="B68" s="77"/>
      <c r="C68" s="37">
        <v>4300</v>
      </c>
      <c r="D68" s="90" t="s">
        <v>8</v>
      </c>
      <c r="E68" s="39">
        <f>414000-6000</f>
        <v>408000</v>
      </c>
    </row>
    <row r="69" spans="1:5" s="28" customFormat="1" ht="13.5" thickBot="1">
      <c r="A69" s="579" t="s">
        <v>182</v>
      </c>
      <c r="B69" s="580"/>
      <c r="C69" s="580"/>
      <c r="D69" s="581"/>
      <c r="E69" s="87">
        <f>E70</f>
        <v>4159323</v>
      </c>
    </row>
    <row r="70" spans="1:5" s="17" customFormat="1" ht="12.75">
      <c r="A70" s="29">
        <v>750</v>
      </c>
      <c r="B70" s="30"/>
      <c r="C70" s="30"/>
      <c r="D70" s="31" t="s">
        <v>22</v>
      </c>
      <c r="E70" s="32">
        <f>E71</f>
        <v>4159323</v>
      </c>
    </row>
    <row r="71" spans="1:5" s="17" customFormat="1" ht="12.75">
      <c r="A71" s="33"/>
      <c r="B71" s="34">
        <v>75023</v>
      </c>
      <c r="C71" s="34"/>
      <c r="D71" s="250" t="s">
        <v>245</v>
      </c>
      <c r="E71" s="35">
        <f>SUM(E72:E76)</f>
        <v>4159323</v>
      </c>
    </row>
    <row r="72" spans="1:7" s="17" customFormat="1" ht="12.75">
      <c r="A72" s="33"/>
      <c r="B72" s="77"/>
      <c r="C72" s="37">
        <v>3020</v>
      </c>
      <c r="D72" s="90" t="s">
        <v>6</v>
      </c>
      <c r="E72" s="39">
        <v>60000</v>
      </c>
      <c r="G72" s="105"/>
    </row>
    <row r="73" spans="1:9" s="17" customFormat="1" ht="12.75">
      <c r="A73" s="33"/>
      <c r="B73" s="36"/>
      <c r="C73" s="37">
        <v>4210</v>
      </c>
      <c r="D73" s="90" t="s">
        <v>7</v>
      </c>
      <c r="E73" s="39">
        <f>223210+120830</f>
        <v>344040</v>
      </c>
      <c r="G73" s="105"/>
      <c r="H73" s="105"/>
      <c r="I73" s="105"/>
    </row>
    <row r="74" spans="1:9" s="17" customFormat="1" ht="12.75">
      <c r="A74" s="33"/>
      <c r="B74" s="36"/>
      <c r="C74" s="37">
        <v>4300</v>
      </c>
      <c r="D74" s="90" t="s">
        <v>8</v>
      </c>
      <c r="E74" s="39">
        <f>2428790+536000+130000</f>
        <v>3094790</v>
      </c>
      <c r="G74" s="105"/>
      <c r="H74" s="105"/>
      <c r="I74" s="105"/>
    </row>
    <row r="75" spans="1:9" s="17" customFormat="1" ht="12.75">
      <c r="A75" s="33"/>
      <c r="B75" s="36"/>
      <c r="C75" s="37">
        <v>4410</v>
      </c>
      <c r="D75" s="90" t="s">
        <v>28</v>
      </c>
      <c r="E75" s="39">
        <v>50000</v>
      </c>
      <c r="G75" s="105"/>
      <c r="H75" s="105"/>
      <c r="I75" s="105"/>
    </row>
    <row r="76" spans="1:9" s="17" customFormat="1" ht="13.5" thickBot="1">
      <c r="A76" s="40"/>
      <c r="B76" s="41"/>
      <c r="C76" s="42">
        <v>4420</v>
      </c>
      <c r="D76" s="336" t="s">
        <v>32</v>
      </c>
      <c r="E76" s="39">
        <v>610493</v>
      </c>
      <c r="G76" s="105"/>
      <c r="H76" s="105"/>
      <c r="I76" s="105"/>
    </row>
    <row r="77" spans="1:5" s="28" customFormat="1" ht="13.5" thickBot="1">
      <c r="A77" s="582" t="s">
        <v>125</v>
      </c>
      <c r="B77" s="583"/>
      <c r="C77" s="583"/>
      <c r="D77" s="584"/>
      <c r="E77" s="27">
        <f>E78+E84+E113</f>
        <v>11902426</v>
      </c>
    </row>
    <row r="78" spans="1:5" s="17" customFormat="1" ht="12.75">
      <c r="A78" s="29">
        <v>750</v>
      </c>
      <c r="B78" s="30"/>
      <c r="C78" s="30"/>
      <c r="D78" s="31" t="s">
        <v>22</v>
      </c>
      <c r="E78" s="32">
        <f>E79</f>
        <v>192108</v>
      </c>
    </row>
    <row r="79" spans="1:5" s="17" customFormat="1" ht="12.75">
      <c r="A79" s="341"/>
      <c r="B79" s="34">
        <v>75023</v>
      </c>
      <c r="C79" s="110"/>
      <c r="D79" s="250" t="s">
        <v>245</v>
      </c>
      <c r="E79" s="35">
        <f>SUM(E80:E83)</f>
        <v>192108</v>
      </c>
    </row>
    <row r="80" spans="1:5" s="17" customFormat="1" ht="12.75" hidden="1">
      <c r="A80" s="65"/>
      <c r="B80" s="77"/>
      <c r="C80" s="37">
        <v>4210</v>
      </c>
      <c r="D80" s="90" t="s">
        <v>7</v>
      </c>
      <c r="E80" s="39"/>
    </row>
    <row r="81" spans="1:5" s="17" customFormat="1" ht="12.75">
      <c r="A81" s="65"/>
      <c r="B81" s="77"/>
      <c r="C81" s="108">
        <v>4110</v>
      </c>
      <c r="D81" s="90" t="s">
        <v>25</v>
      </c>
      <c r="E81" s="39">
        <v>1502</v>
      </c>
    </row>
    <row r="82" spans="1:5" s="17" customFormat="1" ht="12.75">
      <c r="A82" s="65"/>
      <c r="B82" s="77"/>
      <c r="C82" s="108">
        <v>4120</v>
      </c>
      <c r="D82" s="90" t="s">
        <v>26</v>
      </c>
      <c r="E82" s="39">
        <v>206</v>
      </c>
    </row>
    <row r="83" spans="1:5" s="17" customFormat="1" ht="13.5" thickBot="1">
      <c r="A83" s="65"/>
      <c r="B83" s="77"/>
      <c r="C83" s="108">
        <v>4300</v>
      </c>
      <c r="D83" s="342" t="s">
        <v>8</v>
      </c>
      <c r="E83" s="39">
        <f>188400+2000</f>
        <v>190400</v>
      </c>
    </row>
    <row r="84" spans="1:5" s="17" customFormat="1" ht="14.25" customHeight="1">
      <c r="A84" s="29">
        <v>851</v>
      </c>
      <c r="B84" s="30"/>
      <c r="C84" s="30"/>
      <c r="D84" s="31" t="s">
        <v>71</v>
      </c>
      <c r="E84" s="32">
        <f>E89+E106+E104+E85+E87</f>
        <v>8020750</v>
      </c>
    </row>
    <row r="85" spans="1:5" s="17" customFormat="1" ht="12.75">
      <c r="A85" s="341"/>
      <c r="B85" s="34">
        <v>85111</v>
      </c>
      <c r="C85" s="110"/>
      <c r="D85" s="343" t="s">
        <v>72</v>
      </c>
      <c r="E85" s="35">
        <f>E86</f>
        <v>86536</v>
      </c>
    </row>
    <row r="86" spans="1:5" s="61" customFormat="1" ht="25.5">
      <c r="A86" s="65"/>
      <c r="B86" s="77"/>
      <c r="C86" s="108">
        <v>2560</v>
      </c>
      <c r="D86" s="76" t="s">
        <v>75</v>
      </c>
      <c r="E86" s="39">
        <v>86536</v>
      </c>
    </row>
    <row r="87" spans="1:5" s="17" customFormat="1" ht="12.75">
      <c r="A87" s="65"/>
      <c r="B87" s="34">
        <v>85121</v>
      </c>
      <c r="C87" s="110"/>
      <c r="D87" s="343" t="s">
        <v>266</v>
      </c>
      <c r="E87" s="35">
        <f>E88</f>
        <v>21634</v>
      </c>
    </row>
    <row r="88" spans="1:5" s="61" customFormat="1" ht="25.5">
      <c r="A88" s="65"/>
      <c r="B88" s="77"/>
      <c r="C88" s="108">
        <v>2560</v>
      </c>
      <c r="D88" s="76" t="s">
        <v>75</v>
      </c>
      <c r="E88" s="39">
        <v>21634</v>
      </c>
    </row>
    <row r="89" spans="1:5" s="17" customFormat="1" ht="12.75">
      <c r="A89" s="65"/>
      <c r="B89" s="34">
        <v>85154</v>
      </c>
      <c r="C89" s="110"/>
      <c r="D89" s="109" t="s">
        <v>74</v>
      </c>
      <c r="E89" s="35">
        <f>SUM(E90:E103)</f>
        <v>6398797</v>
      </c>
    </row>
    <row r="90" spans="1:5" s="61" customFormat="1" ht="25.5">
      <c r="A90" s="101"/>
      <c r="B90" s="77"/>
      <c r="C90" s="108">
        <v>2560</v>
      </c>
      <c r="D90" s="76" t="s">
        <v>75</v>
      </c>
      <c r="E90" s="39">
        <f>501096+53023</f>
        <v>554119</v>
      </c>
    </row>
    <row r="91" spans="1:5" s="17" customFormat="1" ht="25.5">
      <c r="A91" s="65"/>
      <c r="B91" s="77"/>
      <c r="C91" s="108">
        <v>2810</v>
      </c>
      <c r="D91" s="76" t="s">
        <v>76</v>
      </c>
      <c r="E91" s="39">
        <f>200000+100000</f>
        <v>300000</v>
      </c>
    </row>
    <row r="92" spans="1:5" s="17" customFormat="1" ht="25.5">
      <c r="A92" s="65"/>
      <c r="B92" s="77"/>
      <c r="C92" s="108">
        <v>2820</v>
      </c>
      <c r="D92" s="76" t="s">
        <v>38</v>
      </c>
      <c r="E92" s="39">
        <f>1700000+250000</f>
        <v>1950000</v>
      </c>
    </row>
    <row r="93" spans="1:5" s="17" customFormat="1" ht="38.25">
      <c r="A93" s="65"/>
      <c r="B93" s="77"/>
      <c r="C93" s="108">
        <v>2830</v>
      </c>
      <c r="D93" s="76" t="s">
        <v>77</v>
      </c>
      <c r="E93" s="39">
        <f>300000+400000</f>
        <v>700000</v>
      </c>
    </row>
    <row r="94" spans="1:5" s="17" customFormat="1" ht="12.75">
      <c r="A94" s="65"/>
      <c r="B94" s="77"/>
      <c r="C94" s="108">
        <v>3030</v>
      </c>
      <c r="D94" s="76" t="s">
        <v>17</v>
      </c>
      <c r="E94" s="39">
        <f>309570-640-670-1070</f>
        <v>307190</v>
      </c>
    </row>
    <row r="95" spans="1:5" s="17" customFormat="1" ht="12.75">
      <c r="A95" s="65"/>
      <c r="B95" s="77"/>
      <c r="C95" s="108">
        <v>4110</v>
      </c>
      <c r="D95" s="76" t="s">
        <v>25</v>
      </c>
      <c r="E95" s="39">
        <v>64500</v>
      </c>
    </row>
    <row r="96" spans="1:5" s="17" customFormat="1" ht="12.75">
      <c r="A96" s="65"/>
      <c r="B96" s="77"/>
      <c r="C96" s="108">
        <v>4120</v>
      </c>
      <c r="D96" s="76" t="s">
        <v>26</v>
      </c>
      <c r="E96" s="39">
        <v>8820</v>
      </c>
    </row>
    <row r="97" spans="1:5" s="17" customFormat="1" ht="12.75">
      <c r="A97" s="65"/>
      <c r="B97" s="77"/>
      <c r="C97" s="108">
        <v>4210</v>
      </c>
      <c r="D97" s="76" t="s">
        <v>7</v>
      </c>
      <c r="E97" s="39">
        <v>185817</v>
      </c>
    </row>
    <row r="98" spans="1:5" s="17" customFormat="1" ht="12.75">
      <c r="A98" s="65"/>
      <c r="B98" s="77"/>
      <c r="C98" s="108">
        <v>4220</v>
      </c>
      <c r="D98" s="76" t="s">
        <v>267</v>
      </c>
      <c r="E98" s="39">
        <v>52340</v>
      </c>
    </row>
    <row r="99" spans="1:5" s="17" customFormat="1" ht="12.75">
      <c r="A99" s="65"/>
      <c r="B99" s="77"/>
      <c r="C99" s="108">
        <v>4240</v>
      </c>
      <c r="D99" s="76" t="s">
        <v>39</v>
      </c>
      <c r="E99" s="39">
        <v>72666</v>
      </c>
    </row>
    <row r="100" spans="1:5" s="17" customFormat="1" ht="12.75">
      <c r="A100" s="65"/>
      <c r="B100" s="77"/>
      <c r="C100" s="108">
        <v>4270</v>
      </c>
      <c r="D100" s="76" t="s">
        <v>2</v>
      </c>
      <c r="E100" s="39">
        <v>84600</v>
      </c>
    </row>
    <row r="101" spans="1:5" s="17" customFormat="1" ht="12.75">
      <c r="A101" s="65"/>
      <c r="B101" s="77"/>
      <c r="C101" s="108">
        <v>4280</v>
      </c>
      <c r="D101" s="76" t="s">
        <v>78</v>
      </c>
      <c r="E101" s="39">
        <v>380000</v>
      </c>
    </row>
    <row r="102" spans="1:5" s="17" customFormat="1" ht="12.75">
      <c r="A102" s="65"/>
      <c r="B102" s="77"/>
      <c r="C102" s="108">
        <v>4300</v>
      </c>
      <c r="D102" s="76" t="s">
        <v>8</v>
      </c>
      <c r="E102" s="39">
        <f>2257701-900000+431257-53023</f>
        <v>1735935</v>
      </c>
    </row>
    <row r="103" spans="1:5" s="17" customFormat="1" ht="12.75">
      <c r="A103" s="65"/>
      <c r="B103" s="77"/>
      <c r="C103" s="108">
        <v>4610</v>
      </c>
      <c r="D103" s="76" t="s">
        <v>237</v>
      </c>
      <c r="E103" s="165">
        <f>1070+670+1070</f>
        <v>2810</v>
      </c>
    </row>
    <row r="104" spans="1:5" s="17" customFormat="1" ht="12.75">
      <c r="A104" s="65"/>
      <c r="B104" s="34">
        <v>85158</v>
      </c>
      <c r="C104" s="110"/>
      <c r="D104" s="249" t="s">
        <v>127</v>
      </c>
      <c r="E104" s="35">
        <f>SUM(E105:E105)</f>
        <v>513783</v>
      </c>
    </row>
    <row r="105" spans="1:5" s="17" customFormat="1" ht="25.5">
      <c r="A105" s="65"/>
      <c r="B105" s="77"/>
      <c r="C105" s="108">
        <v>2610</v>
      </c>
      <c r="D105" s="76" t="s">
        <v>195</v>
      </c>
      <c r="E105" s="165">
        <v>513783</v>
      </c>
    </row>
    <row r="106" spans="1:5" s="17" customFormat="1" ht="12.75">
      <c r="A106" s="65"/>
      <c r="B106" s="34">
        <v>85195</v>
      </c>
      <c r="C106" s="110"/>
      <c r="D106" s="250" t="s">
        <v>5</v>
      </c>
      <c r="E106" s="35">
        <f>SUM(E107:E112)</f>
        <v>1000000</v>
      </c>
    </row>
    <row r="107" spans="1:5" s="17" customFormat="1" ht="25.5">
      <c r="A107" s="65"/>
      <c r="B107" s="77"/>
      <c r="C107" s="108">
        <v>2560</v>
      </c>
      <c r="D107" s="76" t="s">
        <v>75</v>
      </c>
      <c r="E107" s="39">
        <v>200000</v>
      </c>
    </row>
    <row r="108" spans="1:5" s="17" customFormat="1" ht="26.25" thickBot="1">
      <c r="A108" s="112"/>
      <c r="B108" s="93"/>
      <c r="C108" s="114">
        <v>2580</v>
      </c>
      <c r="D108" s="53" t="s">
        <v>70</v>
      </c>
      <c r="E108" s="44">
        <v>514000</v>
      </c>
    </row>
    <row r="109" spans="1:5" s="17" customFormat="1" ht="12.75">
      <c r="A109" s="431"/>
      <c r="B109" s="569"/>
      <c r="C109" s="570">
        <v>4280</v>
      </c>
      <c r="D109" s="556" t="s">
        <v>78</v>
      </c>
      <c r="E109" s="557">
        <f>200000-115000</f>
        <v>85000</v>
      </c>
    </row>
    <row r="110" spans="1:5" s="17" customFormat="1" ht="12.75">
      <c r="A110" s="33"/>
      <c r="B110" s="77"/>
      <c r="C110" s="108">
        <v>4300</v>
      </c>
      <c r="D110" s="76" t="s">
        <v>8</v>
      </c>
      <c r="E110" s="39">
        <f>63000+115000</f>
        <v>178000</v>
      </c>
    </row>
    <row r="111" spans="1:5" s="17" customFormat="1" ht="12.75">
      <c r="A111" s="344"/>
      <c r="B111" s="77"/>
      <c r="C111" s="108">
        <v>4430</v>
      </c>
      <c r="D111" s="76" t="s">
        <v>9</v>
      </c>
      <c r="E111" s="39">
        <v>7500</v>
      </c>
    </row>
    <row r="112" spans="1:5" s="17" customFormat="1" ht="13.5" thickBot="1">
      <c r="A112" s="552"/>
      <c r="B112" s="93"/>
      <c r="C112" s="114">
        <v>4540</v>
      </c>
      <c r="D112" s="53" t="s">
        <v>79</v>
      </c>
      <c r="E112" s="44">
        <v>15500</v>
      </c>
    </row>
    <row r="113" spans="1:5" s="17" customFormat="1" ht="12.75">
      <c r="A113" s="29">
        <v>853</v>
      </c>
      <c r="B113" s="30"/>
      <c r="C113" s="30"/>
      <c r="D113" s="31" t="s">
        <v>80</v>
      </c>
      <c r="E113" s="32">
        <f>E114</f>
        <v>3689568</v>
      </c>
    </row>
    <row r="114" spans="1:5" s="17" customFormat="1" ht="13.5" customHeight="1">
      <c r="A114" s="33"/>
      <c r="B114" s="34">
        <v>85395</v>
      </c>
      <c r="C114" s="34"/>
      <c r="D114" s="250" t="s">
        <v>5</v>
      </c>
      <c r="E114" s="35">
        <f>SUM(E115:E119)</f>
        <v>3689568</v>
      </c>
    </row>
    <row r="115" spans="1:5" s="17" customFormat="1" ht="25.5">
      <c r="A115" s="65"/>
      <c r="B115" s="77"/>
      <c r="C115" s="108">
        <v>2580</v>
      </c>
      <c r="D115" s="90" t="s">
        <v>70</v>
      </c>
      <c r="E115" s="39">
        <f>2963368+120200</f>
        <v>3083568</v>
      </c>
    </row>
    <row r="116" spans="1:5" s="17" customFormat="1" ht="25.5">
      <c r="A116" s="65"/>
      <c r="B116" s="77"/>
      <c r="C116" s="108">
        <v>2630</v>
      </c>
      <c r="D116" s="90" t="s">
        <v>20</v>
      </c>
      <c r="E116" s="39">
        <v>24000</v>
      </c>
    </row>
    <row r="117" spans="1:5" s="17" customFormat="1" ht="25.5">
      <c r="A117" s="65"/>
      <c r="B117" s="77"/>
      <c r="C117" s="108">
        <v>2810</v>
      </c>
      <c r="D117" s="90" t="s">
        <v>238</v>
      </c>
      <c r="E117" s="39">
        <v>200000</v>
      </c>
    </row>
    <row r="118" spans="1:5" s="17" customFormat="1" ht="38.25">
      <c r="A118" s="65"/>
      <c r="B118" s="77"/>
      <c r="C118" s="108">
        <v>2820</v>
      </c>
      <c r="D118" s="90" t="s">
        <v>241</v>
      </c>
      <c r="E118" s="39">
        <v>200000</v>
      </c>
    </row>
    <row r="119" spans="1:5" s="17" customFormat="1" ht="13.5" thickBot="1">
      <c r="A119" s="112"/>
      <c r="B119" s="93"/>
      <c r="C119" s="114">
        <v>4300</v>
      </c>
      <c r="D119" s="336" t="s">
        <v>8</v>
      </c>
      <c r="E119" s="44">
        <f>531100-93100-256000</f>
        <v>182000</v>
      </c>
    </row>
    <row r="120" spans="1:5" s="28" customFormat="1" ht="13.5" thickBot="1">
      <c r="A120" s="582" t="s">
        <v>185</v>
      </c>
      <c r="B120" s="583"/>
      <c r="C120" s="583"/>
      <c r="D120" s="584"/>
      <c r="E120" s="27">
        <f>E121</f>
        <v>70000</v>
      </c>
    </row>
    <row r="121" spans="1:5" s="17" customFormat="1" ht="12.75">
      <c r="A121" s="29">
        <v>750</v>
      </c>
      <c r="B121" s="30"/>
      <c r="C121" s="30"/>
      <c r="D121" s="89" t="s">
        <v>22</v>
      </c>
      <c r="E121" s="32">
        <f>E122</f>
        <v>70000</v>
      </c>
    </row>
    <row r="122" spans="1:5" s="17" customFormat="1" ht="12.75">
      <c r="A122" s="33"/>
      <c r="B122" s="34">
        <v>75023</v>
      </c>
      <c r="C122" s="34"/>
      <c r="D122" s="250" t="s">
        <v>245</v>
      </c>
      <c r="E122" s="35">
        <f>SUM(E123:E125)</f>
        <v>70000</v>
      </c>
    </row>
    <row r="123" spans="1:5" s="17" customFormat="1" ht="12.75">
      <c r="A123" s="358"/>
      <c r="B123" s="94"/>
      <c r="C123" s="67">
        <v>4110</v>
      </c>
      <c r="D123" s="38" t="s">
        <v>25</v>
      </c>
      <c r="E123" s="69">
        <v>5365</v>
      </c>
    </row>
    <row r="124" spans="1:5" s="17" customFormat="1" ht="12.75">
      <c r="A124" s="358"/>
      <c r="B124" s="94"/>
      <c r="C124" s="67">
        <v>4120</v>
      </c>
      <c r="D124" s="38" t="s">
        <v>26</v>
      </c>
      <c r="E124" s="69">
        <v>735</v>
      </c>
    </row>
    <row r="125" spans="1:5" s="17" customFormat="1" ht="13.5" thickBot="1">
      <c r="A125" s="358"/>
      <c r="B125" s="359"/>
      <c r="C125" s="67">
        <v>4300</v>
      </c>
      <c r="D125" s="38" t="s">
        <v>8</v>
      </c>
      <c r="E125" s="69">
        <v>63900</v>
      </c>
    </row>
    <row r="126" spans="1:5" s="28" customFormat="1" ht="13.5" thickBot="1">
      <c r="A126" s="582" t="s">
        <v>186</v>
      </c>
      <c r="B126" s="583"/>
      <c r="C126" s="583"/>
      <c r="D126" s="584"/>
      <c r="E126" s="27">
        <f>E127+E137+E142+E151</f>
        <v>48962554</v>
      </c>
    </row>
    <row r="127" spans="1:5" s="17" customFormat="1" ht="12.75">
      <c r="A127" s="360">
        <v>750</v>
      </c>
      <c r="B127" s="30"/>
      <c r="C127" s="30"/>
      <c r="D127" s="89" t="s">
        <v>22</v>
      </c>
      <c r="E127" s="361">
        <f>E128</f>
        <v>534943</v>
      </c>
    </row>
    <row r="128" spans="1:5" s="17" customFormat="1" ht="12.75">
      <c r="A128" s="344"/>
      <c r="B128" s="34">
        <v>75023</v>
      </c>
      <c r="C128" s="34"/>
      <c r="D128" s="250" t="s">
        <v>245</v>
      </c>
      <c r="E128" s="362">
        <f>SUM(E129:E136)</f>
        <v>534943</v>
      </c>
    </row>
    <row r="129" spans="1:7" s="17" customFormat="1" ht="12.75">
      <c r="A129" s="33"/>
      <c r="B129" s="77"/>
      <c r="C129" s="37">
        <v>3020</v>
      </c>
      <c r="D129" s="90" t="s">
        <v>6</v>
      </c>
      <c r="E129" s="39">
        <v>5066</v>
      </c>
      <c r="G129" s="105"/>
    </row>
    <row r="130" spans="1:5" s="17" customFormat="1" ht="12.75">
      <c r="A130" s="363"/>
      <c r="B130" s="94"/>
      <c r="C130" s="67">
        <v>4110</v>
      </c>
      <c r="D130" s="38" t="s">
        <v>25</v>
      </c>
      <c r="E130" s="69">
        <v>2190</v>
      </c>
    </row>
    <row r="131" spans="1:5" s="17" customFormat="1" ht="12.75">
      <c r="A131" s="363"/>
      <c r="B131" s="94"/>
      <c r="C131" s="67">
        <v>4120</v>
      </c>
      <c r="D131" s="38" t="s">
        <v>26</v>
      </c>
      <c r="E131" s="69">
        <v>310</v>
      </c>
    </row>
    <row r="132" spans="1:7" s="17" customFormat="1" ht="12.75">
      <c r="A132" s="363"/>
      <c r="B132" s="94"/>
      <c r="C132" s="67">
        <v>4300</v>
      </c>
      <c r="D132" s="38" t="s">
        <v>8</v>
      </c>
      <c r="E132" s="69">
        <v>244500</v>
      </c>
      <c r="F132" s="60"/>
      <c r="G132" s="60"/>
    </row>
    <row r="133" spans="1:7" s="17" customFormat="1" ht="12.75">
      <c r="A133" s="358"/>
      <c r="B133" s="94"/>
      <c r="C133" s="288">
        <v>4430</v>
      </c>
      <c r="D133" s="289" t="s">
        <v>9</v>
      </c>
      <c r="E133" s="69">
        <v>33512</v>
      </c>
      <c r="F133" s="20"/>
      <c r="G133" s="20"/>
    </row>
    <row r="134" spans="1:5" s="61" customFormat="1" ht="12.75">
      <c r="A134" s="302"/>
      <c r="B134" s="340"/>
      <c r="C134" s="37">
        <v>4580</v>
      </c>
      <c r="D134" s="90" t="s">
        <v>232</v>
      </c>
      <c r="E134" s="39">
        <v>3171</v>
      </c>
    </row>
    <row r="135" spans="1:7" s="17" customFormat="1" ht="12.75">
      <c r="A135" s="358"/>
      <c r="B135" s="94"/>
      <c r="C135" s="37">
        <v>4590</v>
      </c>
      <c r="D135" s="76" t="s">
        <v>34</v>
      </c>
      <c r="E135" s="522">
        <v>31000</v>
      </c>
      <c r="F135" s="20"/>
      <c r="G135" s="20"/>
    </row>
    <row r="136" spans="1:7" s="17" customFormat="1" ht="13.5" thickBot="1">
      <c r="A136" s="358"/>
      <c r="B136" s="94"/>
      <c r="C136" s="288">
        <v>4610</v>
      </c>
      <c r="D136" s="289" t="s">
        <v>237</v>
      </c>
      <c r="E136" s="522">
        <f>215194</f>
        <v>215194</v>
      </c>
      <c r="F136" s="20"/>
      <c r="G136" s="20"/>
    </row>
    <row r="137" spans="1:7" s="17" customFormat="1" ht="12.75">
      <c r="A137" s="360">
        <v>757</v>
      </c>
      <c r="B137" s="30"/>
      <c r="C137" s="30"/>
      <c r="D137" s="89" t="s">
        <v>49</v>
      </c>
      <c r="E137" s="361">
        <f>E138</f>
        <v>43000000</v>
      </c>
      <c r="F137" s="20"/>
      <c r="G137" s="20"/>
    </row>
    <row r="138" spans="1:5" s="17" customFormat="1" ht="25.5">
      <c r="A138" s="344"/>
      <c r="B138" s="34">
        <v>75702</v>
      </c>
      <c r="C138" s="34"/>
      <c r="D138" s="250" t="s">
        <v>50</v>
      </c>
      <c r="E138" s="362">
        <f>SUM(E139:E141)</f>
        <v>43000000</v>
      </c>
    </row>
    <row r="139" spans="1:7" s="17" customFormat="1" ht="12.75">
      <c r="A139" s="363"/>
      <c r="B139" s="94"/>
      <c r="C139" s="67">
        <v>4300</v>
      </c>
      <c r="D139" s="38" t="s">
        <v>8</v>
      </c>
      <c r="E139" s="69">
        <v>600000</v>
      </c>
      <c r="F139" s="60"/>
      <c r="G139" s="60"/>
    </row>
    <row r="140" spans="1:5" s="61" customFormat="1" ht="25.5">
      <c r="A140" s="364"/>
      <c r="B140" s="340"/>
      <c r="C140" s="365">
        <v>4520</v>
      </c>
      <c r="D140" s="366" t="s">
        <v>240</v>
      </c>
      <c r="E140" s="482">
        <f>200000+20000</f>
        <v>220000</v>
      </c>
    </row>
    <row r="141" spans="1:5" s="17" customFormat="1" ht="26.25" thickBot="1">
      <c r="A141" s="358"/>
      <c r="B141" s="94"/>
      <c r="C141" s="67">
        <v>8070</v>
      </c>
      <c r="D141" s="38" t="s">
        <v>51</v>
      </c>
      <c r="E141" s="69">
        <f>42200000-20000</f>
        <v>42180000</v>
      </c>
    </row>
    <row r="142" spans="1:5" s="17" customFormat="1" ht="12.75">
      <c r="A142" s="360">
        <v>758</v>
      </c>
      <c r="B142" s="30"/>
      <c r="C142" s="30"/>
      <c r="D142" s="89" t="s">
        <v>52</v>
      </c>
      <c r="E142" s="361">
        <f>E143+E145</f>
        <v>5328831</v>
      </c>
    </row>
    <row r="143" spans="1:5" s="17" customFormat="1" ht="12.75">
      <c r="A143" s="344"/>
      <c r="B143" s="34">
        <v>75802</v>
      </c>
      <c r="C143" s="34"/>
      <c r="D143" s="247" t="s">
        <v>53</v>
      </c>
      <c r="E143" s="362">
        <f>SUM(E144)</f>
        <v>3391671</v>
      </c>
    </row>
    <row r="144" spans="1:5" s="17" customFormat="1" ht="25.5">
      <c r="A144" s="363"/>
      <c r="B144" s="94"/>
      <c r="C144" s="67">
        <v>2930</v>
      </c>
      <c r="D144" s="38" t="s">
        <v>54</v>
      </c>
      <c r="E144" s="69">
        <v>3391671</v>
      </c>
    </row>
    <row r="145" spans="1:5" s="17" customFormat="1" ht="12.75">
      <c r="A145" s="344"/>
      <c r="B145" s="34">
        <v>75814</v>
      </c>
      <c r="C145" s="34"/>
      <c r="D145" s="247" t="s">
        <v>55</v>
      </c>
      <c r="E145" s="362">
        <f>SUM(E146:E150)</f>
        <v>1937160</v>
      </c>
    </row>
    <row r="146" spans="1:5" s="61" customFormat="1" ht="12.75">
      <c r="A146" s="364"/>
      <c r="B146" s="340"/>
      <c r="C146" s="365">
        <v>4100</v>
      </c>
      <c r="D146" s="366" t="s">
        <v>4</v>
      </c>
      <c r="E146" s="483">
        <f>17000+3000</f>
        <v>20000</v>
      </c>
    </row>
    <row r="147" spans="1:5" s="61" customFormat="1" ht="12.75">
      <c r="A147" s="364"/>
      <c r="B147" s="340"/>
      <c r="C147" s="67">
        <v>4110</v>
      </c>
      <c r="D147" s="38" t="s">
        <v>25</v>
      </c>
      <c r="E147" s="483">
        <f>1000+2000</f>
        <v>3000</v>
      </c>
    </row>
    <row r="148" spans="1:5" s="61" customFormat="1" ht="12.75">
      <c r="A148" s="364"/>
      <c r="B148" s="340"/>
      <c r="C148" s="67">
        <v>4120</v>
      </c>
      <c r="D148" s="38" t="s">
        <v>26</v>
      </c>
      <c r="E148" s="483">
        <f>500+500</f>
        <v>1000</v>
      </c>
    </row>
    <row r="149" spans="1:5" s="61" customFormat="1" ht="12.75">
      <c r="A149" s="364"/>
      <c r="B149" s="340"/>
      <c r="C149" s="365">
        <v>4300</v>
      </c>
      <c r="D149" s="366" t="s">
        <v>8</v>
      </c>
      <c r="E149" s="483">
        <f>1583660-5500</f>
        <v>1578160</v>
      </c>
    </row>
    <row r="150" spans="1:5" s="17" customFormat="1" ht="13.5" thickBot="1">
      <c r="A150" s="367"/>
      <c r="B150" s="368"/>
      <c r="C150" s="45">
        <v>4430</v>
      </c>
      <c r="D150" s="43" t="s">
        <v>9</v>
      </c>
      <c r="E150" s="54">
        <v>335000</v>
      </c>
    </row>
    <row r="151" spans="1:7" s="17" customFormat="1" ht="12.75">
      <c r="A151" s="360">
        <v>900</v>
      </c>
      <c r="B151" s="30"/>
      <c r="C151" s="30"/>
      <c r="D151" s="89" t="s">
        <v>94</v>
      </c>
      <c r="E151" s="361">
        <f>E152</f>
        <v>98780</v>
      </c>
      <c r="F151" s="20"/>
      <c r="G151" s="20"/>
    </row>
    <row r="152" spans="1:5" s="17" customFormat="1" ht="12.75">
      <c r="A152" s="344"/>
      <c r="B152" s="34">
        <v>90001</v>
      </c>
      <c r="C152" s="34"/>
      <c r="D152" s="260" t="s">
        <v>95</v>
      </c>
      <c r="E152" s="362">
        <f>E154+E153</f>
        <v>98780</v>
      </c>
    </row>
    <row r="153" spans="1:5" s="61" customFormat="1" ht="25.5">
      <c r="A153" s="364"/>
      <c r="B153" s="340"/>
      <c r="C153" s="67">
        <v>2910</v>
      </c>
      <c r="D153" s="38" t="s">
        <v>249</v>
      </c>
      <c r="E153" s="483">
        <v>90204</v>
      </c>
    </row>
    <row r="154" spans="1:5" s="17" customFormat="1" ht="26.25" thickBot="1">
      <c r="A154" s="369"/>
      <c r="B154" s="368"/>
      <c r="C154" s="370">
        <v>4560</v>
      </c>
      <c r="D154" s="336" t="s">
        <v>250</v>
      </c>
      <c r="E154" s="54">
        <v>8576</v>
      </c>
    </row>
    <row r="155" spans="1:5" s="28" customFormat="1" ht="13.5" thickBot="1">
      <c r="A155" s="582" t="s">
        <v>133</v>
      </c>
      <c r="B155" s="583"/>
      <c r="C155" s="583"/>
      <c r="D155" s="584"/>
      <c r="E155" s="27">
        <f>E156</f>
        <v>2196250</v>
      </c>
    </row>
    <row r="156" spans="1:5" s="17" customFormat="1" ht="12.75">
      <c r="A156" s="29">
        <v>750</v>
      </c>
      <c r="B156" s="30"/>
      <c r="C156" s="30"/>
      <c r="D156" s="31" t="s">
        <v>22</v>
      </c>
      <c r="E156" s="32">
        <f>E157</f>
        <v>2196250</v>
      </c>
    </row>
    <row r="157" spans="1:5" s="17" customFormat="1" ht="12.75">
      <c r="A157" s="50"/>
      <c r="B157" s="34">
        <v>75023</v>
      </c>
      <c r="C157" s="34"/>
      <c r="D157" s="250" t="s">
        <v>245</v>
      </c>
      <c r="E157" s="35">
        <f>SUM(E158:E161)</f>
        <v>2196250</v>
      </c>
    </row>
    <row r="158" spans="1:5" s="17" customFormat="1" ht="12.75">
      <c r="A158" s="33"/>
      <c r="B158" s="36"/>
      <c r="C158" s="37">
        <v>4210</v>
      </c>
      <c r="D158" s="76" t="s">
        <v>7</v>
      </c>
      <c r="E158" s="39">
        <v>35000</v>
      </c>
    </row>
    <row r="159" spans="1:5" s="17" customFormat="1" ht="12.75">
      <c r="A159" s="65"/>
      <c r="B159" s="77"/>
      <c r="C159" s="106">
        <v>4270</v>
      </c>
      <c r="D159" s="90" t="s">
        <v>2</v>
      </c>
      <c r="E159" s="39">
        <v>1601000</v>
      </c>
    </row>
    <row r="160" spans="1:5" s="17" customFormat="1" ht="12.75">
      <c r="A160" s="65"/>
      <c r="B160" s="77"/>
      <c r="C160" s="106">
        <v>4300</v>
      </c>
      <c r="D160" s="90" t="s">
        <v>8</v>
      </c>
      <c r="E160" s="39">
        <v>510250</v>
      </c>
    </row>
    <row r="161" spans="1:5" s="17" customFormat="1" ht="13.5" thickBot="1">
      <c r="A161" s="33"/>
      <c r="B161" s="36"/>
      <c r="C161" s="37">
        <v>4430</v>
      </c>
      <c r="D161" s="76" t="s">
        <v>9</v>
      </c>
      <c r="E161" s="39">
        <v>50000</v>
      </c>
    </row>
    <row r="162" spans="1:5" s="28" customFormat="1" ht="13.5" hidden="1" thickBot="1">
      <c r="A162" s="582" t="s">
        <v>187</v>
      </c>
      <c r="B162" s="583"/>
      <c r="C162" s="583"/>
      <c r="D162" s="584"/>
      <c r="E162" s="27" t="e">
        <f>#REF!+#REF!</f>
        <v>#REF!</v>
      </c>
    </row>
    <row r="163" spans="1:5" s="17" customFormat="1" ht="13.5" hidden="1" thickBot="1">
      <c r="A163" s="29">
        <v>750</v>
      </c>
      <c r="B163" s="30"/>
      <c r="C163" s="30"/>
      <c r="D163" s="31" t="s">
        <v>22</v>
      </c>
      <c r="E163" s="32" t="e">
        <f>#REF!+#REF!</f>
        <v>#REF!</v>
      </c>
    </row>
    <row r="164" spans="1:5" s="17" customFormat="1" ht="13.5" hidden="1" thickBot="1">
      <c r="A164" s="65"/>
      <c r="B164" s="34">
        <v>75023</v>
      </c>
      <c r="C164" s="66"/>
      <c r="D164" s="247" t="s">
        <v>33</v>
      </c>
      <c r="E164" s="35" t="e">
        <f>SUM(E165:E167)</f>
        <v>#REF!</v>
      </c>
    </row>
    <row r="165" spans="1:5" s="17" customFormat="1" ht="13.5" hidden="1" thickBot="1">
      <c r="A165" s="65"/>
      <c r="B165" s="37"/>
      <c r="C165" s="38">
        <v>3030</v>
      </c>
      <c r="D165" s="96" t="s">
        <v>17</v>
      </c>
      <c r="E165" s="39" t="e">
        <f>#REF!+#REF!</f>
        <v>#REF!</v>
      </c>
    </row>
    <row r="166" spans="1:5" s="17" customFormat="1" ht="13.5" hidden="1" thickBot="1">
      <c r="A166" s="65"/>
      <c r="B166" s="37"/>
      <c r="C166" s="37">
        <v>4210</v>
      </c>
      <c r="D166" s="76" t="s">
        <v>7</v>
      </c>
      <c r="E166" s="39" t="e">
        <f>#REF!+#REF!</f>
        <v>#REF!</v>
      </c>
    </row>
    <row r="167" spans="1:5" s="17" customFormat="1" ht="13.5" hidden="1" thickBot="1">
      <c r="A167" s="33"/>
      <c r="B167" s="97"/>
      <c r="C167" s="97">
        <v>4300</v>
      </c>
      <c r="D167" s="98" t="s">
        <v>8</v>
      </c>
      <c r="E167" s="99" t="e">
        <f>#REF!+#REF!</f>
        <v>#REF!</v>
      </c>
    </row>
    <row r="168" spans="1:5" s="17" customFormat="1" ht="13.5" hidden="1" thickBot="1">
      <c r="A168" s="585" t="s">
        <v>188</v>
      </c>
      <c r="B168" s="586"/>
      <c r="C168" s="586"/>
      <c r="D168" s="586"/>
      <c r="E168" s="100" t="e">
        <f>E399+E404+E414+E426+E435=E166+E167+E165</f>
        <v>#REF!</v>
      </c>
    </row>
    <row r="169" spans="1:8" s="28" customFormat="1" ht="13.5" thickBot="1">
      <c r="A169" s="582" t="s">
        <v>131</v>
      </c>
      <c r="B169" s="583"/>
      <c r="C169" s="583"/>
      <c r="D169" s="584"/>
      <c r="E169" s="27">
        <f>E170+E179+E176</f>
        <v>10208809</v>
      </c>
      <c r="H169" s="61"/>
    </row>
    <row r="170" spans="1:8" s="17" customFormat="1" ht="12.75">
      <c r="A170" s="315">
        <v>630</v>
      </c>
      <c r="B170" s="71"/>
      <c r="C170" s="71"/>
      <c r="D170" s="316" t="s">
        <v>18</v>
      </c>
      <c r="E170" s="317">
        <f>E171+E174</f>
        <v>225000</v>
      </c>
      <c r="H170" s="61"/>
    </row>
    <row r="171" spans="1:5" s="17" customFormat="1" ht="12.75">
      <c r="A171" s="33" t="s">
        <v>194</v>
      </c>
      <c r="B171" s="34">
        <v>63003</v>
      </c>
      <c r="C171" s="34"/>
      <c r="D171" s="247" t="s">
        <v>19</v>
      </c>
      <c r="E171" s="35">
        <f>SUM(E172:E173)</f>
        <v>125000</v>
      </c>
    </row>
    <row r="172" spans="1:5" s="17" customFormat="1" ht="25.5">
      <c r="A172" s="65"/>
      <c r="B172" s="77"/>
      <c r="C172" s="106">
        <v>2630</v>
      </c>
      <c r="D172" s="90" t="s">
        <v>20</v>
      </c>
      <c r="E172" s="39">
        <f>43100</f>
        <v>43100</v>
      </c>
    </row>
    <row r="173" spans="1:5" s="17" customFormat="1" ht="12.75">
      <c r="A173" s="65"/>
      <c r="B173" s="77"/>
      <c r="C173" s="106">
        <v>4300</v>
      </c>
      <c r="D173" s="90" t="s">
        <v>8</v>
      </c>
      <c r="E173" s="39">
        <v>81900</v>
      </c>
    </row>
    <row r="174" spans="1:5" s="17" customFormat="1" ht="12.75">
      <c r="A174" s="33"/>
      <c r="B174" s="34">
        <v>63095</v>
      </c>
      <c r="C174" s="34"/>
      <c r="D174" s="247" t="s">
        <v>5</v>
      </c>
      <c r="E174" s="35">
        <f>E175</f>
        <v>100000</v>
      </c>
    </row>
    <row r="175" spans="1:5" s="17" customFormat="1" ht="13.5" thickBot="1">
      <c r="A175" s="65"/>
      <c r="B175" s="77"/>
      <c r="C175" s="377">
        <v>4300</v>
      </c>
      <c r="D175" s="90" t="s">
        <v>8</v>
      </c>
      <c r="E175" s="39">
        <v>100000</v>
      </c>
    </row>
    <row r="176" spans="1:5" s="17" customFormat="1" ht="12.75">
      <c r="A176" s="29">
        <v>750</v>
      </c>
      <c r="B176" s="30"/>
      <c r="C176" s="30"/>
      <c r="D176" s="31" t="s">
        <v>22</v>
      </c>
      <c r="E176" s="32">
        <f>E177</f>
        <v>5800</v>
      </c>
    </row>
    <row r="177" spans="1:5" s="17" customFormat="1" ht="12.75">
      <c r="A177" s="50"/>
      <c r="B177" s="34">
        <v>75023</v>
      </c>
      <c r="C177" s="34"/>
      <c r="D177" s="250" t="s">
        <v>245</v>
      </c>
      <c r="E177" s="35">
        <f>SUM(E178)</f>
        <v>5800</v>
      </c>
    </row>
    <row r="178" spans="1:5" s="17" customFormat="1" ht="12.75">
      <c r="A178" s="33"/>
      <c r="B178" s="36"/>
      <c r="C178" s="37">
        <v>4300</v>
      </c>
      <c r="D178" s="76" t="s">
        <v>8</v>
      </c>
      <c r="E178" s="39">
        <v>5800</v>
      </c>
    </row>
    <row r="179" spans="1:5" s="17" customFormat="1" ht="12.75">
      <c r="A179" s="333">
        <v>926</v>
      </c>
      <c r="B179" s="107"/>
      <c r="C179" s="107"/>
      <c r="D179" s="316" t="s">
        <v>108</v>
      </c>
      <c r="E179" s="317">
        <f>E180+E183</f>
        <v>9978009</v>
      </c>
    </row>
    <row r="180" spans="1:5" s="17" customFormat="1" ht="12.75">
      <c r="A180" s="33" t="s">
        <v>194</v>
      </c>
      <c r="B180" s="34">
        <v>92605</v>
      </c>
      <c r="C180" s="34"/>
      <c r="D180" s="247" t="s">
        <v>110</v>
      </c>
      <c r="E180" s="35">
        <f>E181+E182</f>
        <v>3227000</v>
      </c>
    </row>
    <row r="181" spans="1:5" s="17" customFormat="1" ht="25.5">
      <c r="A181" s="65"/>
      <c r="B181" s="77"/>
      <c r="C181" s="106">
        <v>2630</v>
      </c>
      <c r="D181" s="90" t="s">
        <v>20</v>
      </c>
      <c r="E181" s="39">
        <f>2905000+500000+22000-200000</f>
        <v>3227000</v>
      </c>
    </row>
    <row r="182" spans="1:5" s="17" customFormat="1" ht="12.75">
      <c r="A182" s="65"/>
      <c r="B182" s="77"/>
      <c r="C182" s="377">
        <v>4300</v>
      </c>
      <c r="D182" s="90" t="s">
        <v>8</v>
      </c>
      <c r="E182" s="39">
        <f>22000-22000</f>
        <v>0</v>
      </c>
    </row>
    <row r="183" spans="1:5" ht="12.75">
      <c r="A183" s="33" t="s">
        <v>194</v>
      </c>
      <c r="B183" s="34">
        <v>92695</v>
      </c>
      <c r="C183" s="34"/>
      <c r="D183" s="240" t="s">
        <v>5</v>
      </c>
      <c r="E183" s="35">
        <f>SUM(E184:E188)</f>
        <v>6751009</v>
      </c>
    </row>
    <row r="184" spans="1:5" s="17" customFormat="1" ht="25.5">
      <c r="A184" s="65"/>
      <c r="B184" s="77"/>
      <c r="C184" s="106">
        <v>2610</v>
      </c>
      <c r="D184" s="90" t="s">
        <v>195</v>
      </c>
      <c r="E184" s="165">
        <v>6259709</v>
      </c>
    </row>
    <row r="185" spans="1:5" ht="12.75">
      <c r="A185" s="65"/>
      <c r="B185" s="77"/>
      <c r="C185" s="106">
        <v>3020</v>
      </c>
      <c r="D185" s="90" t="s">
        <v>6</v>
      </c>
      <c r="E185" s="39">
        <v>100000</v>
      </c>
    </row>
    <row r="186" spans="1:5" ht="12.75">
      <c r="A186" s="65"/>
      <c r="B186" s="77"/>
      <c r="C186" s="106">
        <v>4210</v>
      </c>
      <c r="D186" s="90" t="s">
        <v>7</v>
      </c>
      <c r="E186" s="39">
        <f>60000+100000-100000</f>
        <v>60000</v>
      </c>
    </row>
    <row r="187" spans="1:5" ht="12.75">
      <c r="A187" s="65"/>
      <c r="B187" s="77"/>
      <c r="C187" s="377">
        <v>4300</v>
      </c>
      <c r="D187" s="90" t="s">
        <v>8</v>
      </c>
      <c r="E187" s="39">
        <f>110000+60000+100000+40000</f>
        <v>310000</v>
      </c>
    </row>
    <row r="188" spans="1:5" ht="13.5" thickBot="1">
      <c r="A188" s="65"/>
      <c r="B188" s="77"/>
      <c r="C188" s="106">
        <v>4430</v>
      </c>
      <c r="D188" s="90" t="s">
        <v>9</v>
      </c>
      <c r="E188" s="39">
        <v>21300</v>
      </c>
    </row>
    <row r="189" spans="1:5" s="28" customFormat="1" ht="13.5" thickBot="1">
      <c r="A189" s="582" t="s">
        <v>130</v>
      </c>
      <c r="B189" s="583"/>
      <c r="C189" s="583"/>
      <c r="D189" s="584"/>
      <c r="E189" s="27">
        <f>E190+E211</f>
        <v>83333634.04</v>
      </c>
    </row>
    <row r="190" spans="1:5" s="17" customFormat="1" ht="12.75">
      <c r="A190" s="315">
        <v>801</v>
      </c>
      <c r="B190" s="71"/>
      <c r="C190" s="71"/>
      <c r="D190" s="316" t="s">
        <v>59</v>
      </c>
      <c r="E190" s="317">
        <f>E191+E193+E195+E201+E197+E199</f>
        <v>7433611.04</v>
      </c>
    </row>
    <row r="191" spans="1:5" s="17" customFormat="1" ht="12.75">
      <c r="A191" s="33" t="s">
        <v>194</v>
      </c>
      <c r="B191" s="34">
        <v>80101</v>
      </c>
      <c r="C191" s="34"/>
      <c r="D191" s="247" t="s">
        <v>60</v>
      </c>
      <c r="E191" s="35">
        <f>SUM(E192:E192)</f>
        <v>2768878</v>
      </c>
    </row>
    <row r="192" spans="1:6" s="17" customFormat="1" ht="25.5">
      <c r="A192" s="65"/>
      <c r="B192" s="77"/>
      <c r="C192" s="106">
        <v>2540</v>
      </c>
      <c r="D192" s="90" t="s">
        <v>61</v>
      </c>
      <c r="E192" s="39">
        <v>2768878</v>
      </c>
      <c r="F192" s="319"/>
    </row>
    <row r="193" spans="1:5" s="17" customFormat="1" ht="12.75">
      <c r="A193" s="33"/>
      <c r="B193" s="34">
        <v>80104</v>
      </c>
      <c r="C193" s="34"/>
      <c r="D193" s="247" t="s">
        <v>218</v>
      </c>
      <c r="E193" s="35">
        <f>SUM(E194:E194)</f>
        <v>186356</v>
      </c>
    </row>
    <row r="194" spans="1:5" s="17" customFormat="1" ht="25.5">
      <c r="A194" s="65"/>
      <c r="B194" s="77"/>
      <c r="C194" s="106">
        <v>2540</v>
      </c>
      <c r="D194" s="90" t="s">
        <v>61</v>
      </c>
      <c r="E194" s="39">
        <v>186356</v>
      </c>
    </row>
    <row r="195" spans="1:5" s="17" customFormat="1" ht="12.75">
      <c r="A195" s="33" t="s">
        <v>196</v>
      </c>
      <c r="B195" s="34">
        <v>80110</v>
      </c>
      <c r="C195" s="34"/>
      <c r="D195" s="247" t="s">
        <v>63</v>
      </c>
      <c r="E195" s="35">
        <f>SUM(E196:E196)</f>
        <v>1777186</v>
      </c>
    </row>
    <row r="196" spans="1:5" s="17" customFormat="1" ht="25.5">
      <c r="A196" s="65"/>
      <c r="B196" s="77"/>
      <c r="C196" s="106">
        <v>2540</v>
      </c>
      <c r="D196" s="90" t="s">
        <v>61</v>
      </c>
      <c r="E196" s="39">
        <v>1777186</v>
      </c>
    </row>
    <row r="197" spans="1:5" s="17" customFormat="1" ht="12.75">
      <c r="A197" s="33"/>
      <c r="B197" s="34">
        <v>80113</v>
      </c>
      <c r="C197" s="34"/>
      <c r="D197" s="247" t="s">
        <v>65</v>
      </c>
      <c r="E197" s="35">
        <f>E198</f>
        <v>46122</v>
      </c>
    </row>
    <row r="198" spans="1:5" s="17" customFormat="1" ht="12.75">
      <c r="A198" s="65"/>
      <c r="B198" s="77"/>
      <c r="C198" s="377">
        <v>4300</v>
      </c>
      <c r="D198" s="90" t="s">
        <v>8</v>
      </c>
      <c r="E198" s="39">
        <f>150000-103878</f>
        <v>46122</v>
      </c>
    </row>
    <row r="199" spans="1:5" s="17" customFormat="1" ht="12.75">
      <c r="A199" s="33"/>
      <c r="B199" s="34">
        <v>80146</v>
      </c>
      <c r="C199" s="34"/>
      <c r="D199" s="247" t="s">
        <v>248</v>
      </c>
      <c r="E199" s="35">
        <f>E200</f>
        <v>3741</v>
      </c>
    </row>
    <row r="200" spans="1:5" s="17" customFormat="1" ht="12.75">
      <c r="A200" s="65"/>
      <c r="B200" s="77"/>
      <c r="C200" s="377">
        <v>4300</v>
      </c>
      <c r="D200" s="90" t="s">
        <v>8</v>
      </c>
      <c r="E200" s="39">
        <v>3741</v>
      </c>
    </row>
    <row r="201" spans="1:5" s="17" customFormat="1" ht="12.75">
      <c r="A201" s="33"/>
      <c r="B201" s="34">
        <v>80195</v>
      </c>
      <c r="C201" s="34"/>
      <c r="D201" s="247" t="s">
        <v>5</v>
      </c>
      <c r="E201" s="35">
        <f>SUM(E202:E210)</f>
        <v>2651328.04</v>
      </c>
    </row>
    <row r="202" spans="1:5" s="17" customFormat="1" ht="25.5">
      <c r="A202" s="65"/>
      <c r="B202" s="77"/>
      <c r="C202" s="106">
        <v>2580</v>
      </c>
      <c r="D202" s="90" t="s">
        <v>70</v>
      </c>
      <c r="E202" s="39">
        <v>175000</v>
      </c>
    </row>
    <row r="203" spans="1:5" s="17" customFormat="1" ht="12.75">
      <c r="A203" s="65"/>
      <c r="B203" s="77"/>
      <c r="C203" s="106">
        <v>3020</v>
      </c>
      <c r="D203" s="90" t="s">
        <v>6</v>
      </c>
      <c r="E203" s="39">
        <v>95000</v>
      </c>
    </row>
    <row r="204" spans="1:5" s="17" customFormat="1" ht="12.75">
      <c r="A204" s="65"/>
      <c r="B204" s="77"/>
      <c r="C204" s="37">
        <v>4110</v>
      </c>
      <c r="D204" s="90" t="s">
        <v>25</v>
      </c>
      <c r="E204" s="39">
        <f>32.75+30396</f>
        <v>30428.75</v>
      </c>
    </row>
    <row r="205" spans="1:5" s="17" customFormat="1" ht="12.75">
      <c r="A205" s="65"/>
      <c r="B205" s="77"/>
      <c r="C205" s="37">
        <v>4120</v>
      </c>
      <c r="D205" s="90" t="s">
        <v>26</v>
      </c>
      <c r="E205" s="39">
        <f>4.29+4165</f>
        <v>4169.29</v>
      </c>
    </row>
    <row r="206" spans="1:5" s="17" customFormat="1" ht="12.75">
      <c r="A206" s="65"/>
      <c r="B206" s="77"/>
      <c r="C206" s="106">
        <v>4210</v>
      </c>
      <c r="D206" s="90" t="s">
        <v>7</v>
      </c>
      <c r="E206" s="39">
        <v>160584</v>
      </c>
    </row>
    <row r="207" spans="1:5" s="17" customFormat="1" ht="12.75">
      <c r="A207" s="65"/>
      <c r="B207" s="77"/>
      <c r="C207" s="106">
        <v>4300</v>
      </c>
      <c r="D207" s="90" t="s">
        <v>8</v>
      </c>
      <c r="E207" s="39">
        <v>477261</v>
      </c>
    </row>
    <row r="208" spans="1:5" s="17" customFormat="1" ht="12.75">
      <c r="A208" s="65"/>
      <c r="B208" s="77"/>
      <c r="C208" s="37">
        <v>4410</v>
      </c>
      <c r="D208" s="76" t="s">
        <v>28</v>
      </c>
      <c r="E208" s="39">
        <v>438</v>
      </c>
    </row>
    <row r="209" spans="1:5" s="17" customFormat="1" ht="12.75">
      <c r="A209" s="65"/>
      <c r="B209" s="77"/>
      <c r="C209" s="106">
        <v>4430</v>
      </c>
      <c r="D209" s="90" t="s">
        <v>9</v>
      </c>
      <c r="E209" s="39">
        <v>225469</v>
      </c>
    </row>
    <row r="210" spans="1:5" s="17" customFormat="1" ht="13.5" thickBot="1">
      <c r="A210" s="112"/>
      <c r="B210" s="93"/>
      <c r="C210" s="571">
        <v>4440</v>
      </c>
      <c r="D210" s="336" t="s">
        <v>29</v>
      </c>
      <c r="E210" s="502">
        <f>1151188+331790</f>
        <v>1482978</v>
      </c>
    </row>
    <row r="211" spans="1:5" s="17" customFormat="1" ht="12.75">
      <c r="A211" s="29">
        <v>854</v>
      </c>
      <c r="B211" s="30"/>
      <c r="C211" s="30"/>
      <c r="D211" s="49" t="s">
        <v>85</v>
      </c>
      <c r="E211" s="387">
        <f>E212+E215+E217</f>
        <v>75900023</v>
      </c>
    </row>
    <row r="212" spans="1:7" s="17" customFormat="1" ht="12.75">
      <c r="A212" s="33"/>
      <c r="B212" s="34">
        <v>85404</v>
      </c>
      <c r="C212" s="34"/>
      <c r="D212" s="247" t="s">
        <v>219</v>
      </c>
      <c r="E212" s="35">
        <f>SUM(E213:E214)</f>
        <v>75346279</v>
      </c>
      <c r="F212" s="105"/>
      <c r="G212" s="105"/>
    </row>
    <row r="213" spans="1:7" s="17" customFormat="1" ht="25.5">
      <c r="A213" s="65"/>
      <c r="B213" s="77"/>
      <c r="C213" s="106">
        <v>2540</v>
      </c>
      <c r="D213" s="90" t="s">
        <v>61</v>
      </c>
      <c r="E213" s="39">
        <v>1779234</v>
      </c>
      <c r="G213" s="105"/>
    </row>
    <row r="214" spans="1:7" s="17" customFormat="1" ht="25.5">
      <c r="A214" s="65"/>
      <c r="B214" s="77"/>
      <c r="C214" s="106">
        <v>2590</v>
      </c>
      <c r="D214" s="90" t="s">
        <v>220</v>
      </c>
      <c r="E214" s="165">
        <v>73567045</v>
      </c>
      <c r="G214" s="105"/>
    </row>
    <row r="215" spans="1:5" s="17" customFormat="1" ht="12.75">
      <c r="A215" s="33"/>
      <c r="B215" s="34">
        <v>85405</v>
      </c>
      <c r="C215" s="34"/>
      <c r="D215" s="247" t="s">
        <v>89</v>
      </c>
      <c r="E215" s="35">
        <f>SUM(E216:E216)</f>
        <v>441434</v>
      </c>
    </row>
    <row r="216" spans="1:7" s="17" customFormat="1" ht="25.5">
      <c r="A216" s="65"/>
      <c r="B216" s="77"/>
      <c r="C216" s="106">
        <v>2540</v>
      </c>
      <c r="D216" s="90" t="s">
        <v>61</v>
      </c>
      <c r="E216" s="165">
        <v>441434</v>
      </c>
      <c r="G216" s="105"/>
    </row>
    <row r="217" spans="1:5" s="17" customFormat="1" ht="25.5">
      <c r="A217" s="33"/>
      <c r="B217" s="34">
        <v>85412</v>
      </c>
      <c r="C217" s="34"/>
      <c r="D217" s="247" t="s">
        <v>92</v>
      </c>
      <c r="E217" s="35">
        <f>SUM(E218:E219)</f>
        <v>112310</v>
      </c>
    </row>
    <row r="218" spans="1:5" s="17" customFormat="1" ht="25.5">
      <c r="A218" s="65"/>
      <c r="B218" s="77"/>
      <c r="C218" s="106">
        <v>2630</v>
      </c>
      <c r="D218" s="90" t="s">
        <v>20</v>
      </c>
      <c r="E218" s="39">
        <v>112000</v>
      </c>
    </row>
    <row r="219" spans="1:7" s="17" customFormat="1" ht="13.5" thickBot="1">
      <c r="A219" s="112"/>
      <c r="B219" s="93"/>
      <c r="C219" s="370">
        <v>4300</v>
      </c>
      <c r="D219" s="336" t="s">
        <v>8</v>
      </c>
      <c r="E219" s="243">
        <v>310</v>
      </c>
      <c r="G219" s="105"/>
    </row>
    <row r="220" spans="1:5" s="28" customFormat="1" ht="13.5" thickBot="1">
      <c r="A220" s="582" t="s">
        <v>132</v>
      </c>
      <c r="B220" s="583"/>
      <c r="C220" s="583"/>
      <c r="D220" s="584"/>
      <c r="E220" s="27">
        <f>E224+E221</f>
        <v>21990600</v>
      </c>
    </row>
    <row r="221" spans="1:5" s="17" customFormat="1" ht="12.75" hidden="1">
      <c r="A221" s="29">
        <v>854</v>
      </c>
      <c r="B221" s="30"/>
      <c r="C221" s="30"/>
      <c r="D221" s="316" t="s">
        <v>85</v>
      </c>
      <c r="E221" s="32">
        <f>E222</f>
        <v>0</v>
      </c>
    </row>
    <row r="222" spans="1:5" s="17" customFormat="1" ht="25.5" hidden="1">
      <c r="A222" s="33"/>
      <c r="B222" s="34">
        <v>85412</v>
      </c>
      <c r="C222" s="34"/>
      <c r="D222" s="247" t="s">
        <v>92</v>
      </c>
      <c r="E222" s="35">
        <f>E223</f>
        <v>0</v>
      </c>
    </row>
    <row r="223" spans="1:5" s="17" customFormat="1" ht="13.5" hidden="1" thickBot="1">
      <c r="A223" s="112"/>
      <c r="B223" s="93"/>
      <c r="C223" s="370">
        <v>4300</v>
      </c>
      <c r="D223" s="336" t="s">
        <v>8</v>
      </c>
      <c r="E223" s="44">
        <f>30000-30000</f>
        <v>0</v>
      </c>
    </row>
    <row r="224" spans="1:5" s="17" customFormat="1" ht="12.75">
      <c r="A224" s="29">
        <v>921</v>
      </c>
      <c r="B224" s="30"/>
      <c r="C224" s="30"/>
      <c r="D224" s="31" t="s">
        <v>99</v>
      </c>
      <c r="E224" s="32">
        <f>E225+E227+E229+E231+E233+E235+E237</f>
        <v>21990600</v>
      </c>
    </row>
    <row r="225" spans="1:5" s="17" customFormat="1" ht="12.75">
      <c r="A225" s="50"/>
      <c r="B225" s="34">
        <v>92105</v>
      </c>
      <c r="C225" s="107"/>
      <c r="D225" s="259" t="s">
        <v>100</v>
      </c>
      <c r="E225" s="35">
        <f>E226</f>
        <v>2500000</v>
      </c>
    </row>
    <row r="226" spans="1:7" s="17" customFormat="1" ht="25.5">
      <c r="A226" s="65"/>
      <c r="B226" s="111"/>
      <c r="C226" s="108">
        <v>2630</v>
      </c>
      <c r="D226" s="321" t="s">
        <v>20</v>
      </c>
      <c r="E226" s="39">
        <v>2500000</v>
      </c>
      <c r="G226" s="378"/>
    </row>
    <row r="227" spans="1:5" s="17" customFormat="1" ht="12.75">
      <c r="A227" s="65"/>
      <c r="B227" s="34">
        <v>92109</v>
      </c>
      <c r="C227" s="107"/>
      <c r="D227" s="259" t="s">
        <v>101</v>
      </c>
      <c r="E227" s="35">
        <f>E228</f>
        <v>120000</v>
      </c>
    </row>
    <row r="228" spans="1:5" s="17" customFormat="1" ht="12.75">
      <c r="A228" s="65"/>
      <c r="B228" s="77"/>
      <c r="C228" s="108">
        <v>2550</v>
      </c>
      <c r="D228" s="321" t="s">
        <v>104</v>
      </c>
      <c r="E228" s="39">
        <f>130000-inwestycje!E77</f>
        <v>120000</v>
      </c>
    </row>
    <row r="229" spans="1:5" s="17" customFormat="1" ht="12.75">
      <c r="A229" s="65"/>
      <c r="B229" s="34">
        <v>92110</v>
      </c>
      <c r="C229" s="107"/>
      <c r="D229" s="259" t="s">
        <v>242</v>
      </c>
      <c r="E229" s="35">
        <f>E230</f>
        <v>670000</v>
      </c>
    </row>
    <row r="230" spans="1:5" s="17" customFormat="1" ht="12.75">
      <c r="A230" s="65"/>
      <c r="B230" s="77"/>
      <c r="C230" s="108">
        <v>2550</v>
      </c>
      <c r="D230" s="321" t="s">
        <v>104</v>
      </c>
      <c r="E230" s="39">
        <f>720000-inwestycje!E79</f>
        <v>670000</v>
      </c>
    </row>
    <row r="231" spans="1:5" s="17" customFormat="1" ht="12.75">
      <c r="A231" s="65"/>
      <c r="B231" s="34">
        <v>92113</v>
      </c>
      <c r="C231" s="107"/>
      <c r="D231" s="259" t="s">
        <v>243</v>
      </c>
      <c r="E231" s="35">
        <f>E232</f>
        <v>3105000</v>
      </c>
    </row>
    <row r="232" spans="1:5" s="17" customFormat="1" ht="12.75">
      <c r="A232" s="65"/>
      <c r="B232" s="77"/>
      <c r="C232" s="108">
        <v>2550</v>
      </c>
      <c r="D232" s="252" t="s">
        <v>104</v>
      </c>
      <c r="E232" s="39">
        <f>5905000-inwestycje!E82+44208+162000+100000</f>
        <v>3105000</v>
      </c>
    </row>
    <row r="233" spans="1:5" s="17" customFormat="1" ht="12.75">
      <c r="A233" s="65"/>
      <c r="B233" s="34">
        <v>92116</v>
      </c>
      <c r="C233" s="107"/>
      <c r="D233" s="259" t="s">
        <v>102</v>
      </c>
      <c r="E233" s="35">
        <f>E234</f>
        <v>10060600</v>
      </c>
    </row>
    <row r="234" spans="1:5" ht="12.75">
      <c r="A234" s="65"/>
      <c r="B234" s="77"/>
      <c r="C234" s="108">
        <v>2550</v>
      </c>
      <c r="D234" s="252" t="s">
        <v>104</v>
      </c>
      <c r="E234" s="287">
        <f>10903100-inwestycje!E85</f>
        <v>10060600</v>
      </c>
    </row>
    <row r="235" spans="1:5" s="17" customFormat="1" ht="12.75">
      <c r="A235" s="65"/>
      <c r="B235" s="34">
        <v>92118</v>
      </c>
      <c r="C235" s="107"/>
      <c r="D235" s="259" t="s">
        <v>244</v>
      </c>
      <c r="E235" s="35">
        <f>E236</f>
        <v>4890000</v>
      </c>
    </row>
    <row r="236" spans="1:5" s="17" customFormat="1" ht="12.75">
      <c r="A236" s="65"/>
      <c r="B236" s="77"/>
      <c r="C236" s="108">
        <v>2550</v>
      </c>
      <c r="D236" s="321" t="s">
        <v>104</v>
      </c>
      <c r="E236" s="39">
        <f>6576000-inwestycje!E88+400000+46000</f>
        <v>4890000</v>
      </c>
    </row>
    <row r="237" spans="1:5" s="17" customFormat="1" ht="13.5" customHeight="1">
      <c r="A237" s="65"/>
      <c r="B237" s="34">
        <v>92195</v>
      </c>
      <c r="C237" s="107"/>
      <c r="D237" s="240" t="s">
        <v>5</v>
      </c>
      <c r="E237" s="35">
        <f>SUM(E238:E242)</f>
        <v>645000</v>
      </c>
    </row>
    <row r="238" spans="1:5" ht="12.75">
      <c r="A238" s="65"/>
      <c r="B238" s="77"/>
      <c r="C238" s="379">
        <v>3020</v>
      </c>
      <c r="D238" s="380" t="s">
        <v>6</v>
      </c>
      <c r="E238" s="287">
        <v>178000</v>
      </c>
    </row>
    <row r="239" spans="1:5" ht="12.75">
      <c r="A239" s="65"/>
      <c r="B239" s="77"/>
      <c r="C239" s="379">
        <v>4210</v>
      </c>
      <c r="D239" s="380" t="s">
        <v>7</v>
      </c>
      <c r="E239" s="287">
        <v>43000</v>
      </c>
    </row>
    <row r="240" spans="1:5" ht="12.75">
      <c r="A240" s="65"/>
      <c r="B240" s="77"/>
      <c r="C240" s="37">
        <v>4270</v>
      </c>
      <c r="D240" s="76" t="s">
        <v>2</v>
      </c>
      <c r="E240" s="287">
        <v>15000</v>
      </c>
    </row>
    <row r="241" spans="1:5" ht="12.75">
      <c r="A241" s="65"/>
      <c r="B241" s="77"/>
      <c r="C241" s="379">
        <v>4300</v>
      </c>
      <c r="D241" s="380" t="s">
        <v>8</v>
      </c>
      <c r="E241" s="287">
        <f>359000+40000</f>
        <v>399000</v>
      </c>
    </row>
    <row r="242" spans="1:5" ht="13.5" thickBot="1">
      <c r="A242" s="112"/>
      <c r="B242" s="93"/>
      <c r="C242" s="381">
        <v>4410</v>
      </c>
      <c r="D242" s="382" t="s">
        <v>28</v>
      </c>
      <c r="E242" s="504">
        <v>10000</v>
      </c>
    </row>
    <row r="243" spans="1:5" s="130" customFormat="1" ht="13.5" thickBot="1">
      <c r="A243" s="587" t="s">
        <v>120</v>
      </c>
      <c r="B243" s="588"/>
      <c r="C243" s="588"/>
      <c r="D243" s="589"/>
      <c r="E243" s="129">
        <f>E244+E251+E254</f>
        <v>229959829</v>
      </c>
    </row>
    <row r="244" spans="1:5" s="120" customFormat="1" ht="12.75">
      <c r="A244" s="131">
        <v>600</v>
      </c>
      <c r="B244" s="132"/>
      <c r="C244" s="132"/>
      <c r="D244" s="133" t="s">
        <v>14</v>
      </c>
      <c r="E244" s="134">
        <f>E245+E247</f>
        <v>222677938</v>
      </c>
    </row>
    <row r="245" spans="1:5" s="398" customFormat="1" ht="12.75">
      <c r="A245" s="135"/>
      <c r="B245" s="136">
        <v>60004</v>
      </c>
      <c r="C245" s="136"/>
      <c r="D245" s="250" t="s">
        <v>15</v>
      </c>
      <c r="E245" s="137">
        <f>E246</f>
        <v>222097938</v>
      </c>
    </row>
    <row r="246" spans="1:5" s="398" customFormat="1" ht="12.75">
      <c r="A246" s="135"/>
      <c r="B246" s="399"/>
      <c r="C246" s="138">
        <v>4300</v>
      </c>
      <c r="D246" s="400" t="s">
        <v>8</v>
      </c>
      <c r="E246" s="508">
        <f>222090238+7700</f>
        <v>222097938</v>
      </c>
    </row>
    <row r="247" spans="1:5" s="398" customFormat="1" ht="12.75">
      <c r="A247" s="135"/>
      <c r="B247" s="136">
        <v>60095</v>
      </c>
      <c r="C247" s="136"/>
      <c r="D247" s="250" t="s">
        <v>5</v>
      </c>
      <c r="E247" s="137">
        <f>SUM(E248:E250)</f>
        <v>580000</v>
      </c>
    </row>
    <row r="248" spans="1:5" s="398" customFormat="1" ht="12.75">
      <c r="A248" s="135"/>
      <c r="B248" s="401"/>
      <c r="C248" s="138">
        <v>4210</v>
      </c>
      <c r="D248" s="38" t="s">
        <v>7</v>
      </c>
      <c r="E248" s="508">
        <v>4000</v>
      </c>
    </row>
    <row r="249" spans="1:5" s="398" customFormat="1" ht="12.75">
      <c r="A249" s="135"/>
      <c r="B249" s="399"/>
      <c r="C249" s="138">
        <v>4300</v>
      </c>
      <c r="D249" s="400" t="s">
        <v>8</v>
      </c>
      <c r="E249" s="508">
        <v>575000</v>
      </c>
    </row>
    <row r="250" spans="1:5" s="398" customFormat="1" ht="13.5" thickBot="1">
      <c r="A250" s="135"/>
      <c r="B250" s="399"/>
      <c r="C250" s="402">
        <v>4430</v>
      </c>
      <c r="D250" s="90" t="s">
        <v>9</v>
      </c>
      <c r="E250" s="509">
        <v>1000</v>
      </c>
    </row>
    <row r="251" spans="1:5" s="120" customFormat="1" ht="12.75">
      <c r="A251" s="131">
        <v>758</v>
      </c>
      <c r="B251" s="132"/>
      <c r="C251" s="132"/>
      <c r="D251" s="133" t="s">
        <v>52</v>
      </c>
      <c r="E251" s="134">
        <f>E252</f>
        <v>5338891</v>
      </c>
    </row>
    <row r="252" spans="1:5" s="398" customFormat="1" ht="12.75">
      <c r="A252" s="135"/>
      <c r="B252" s="136">
        <v>75814</v>
      </c>
      <c r="C252" s="136"/>
      <c r="D252" s="250" t="s">
        <v>55</v>
      </c>
      <c r="E252" s="137">
        <f>SUM(E253:E253)</f>
        <v>5338891</v>
      </c>
    </row>
    <row r="253" spans="1:5" s="398" customFormat="1" ht="13.5" thickBot="1">
      <c r="A253" s="135"/>
      <c r="B253" s="399"/>
      <c r="C253" s="138">
        <v>4300</v>
      </c>
      <c r="D253" s="400" t="s">
        <v>8</v>
      </c>
      <c r="E253" s="508">
        <v>5338891</v>
      </c>
    </row>
    <row r="254" spans="1:5" s="120" customFormat="1" ht="12.75">
      <c r="A254" s="131">
        <v>900</v>
      </c>
      <c r="B254" s="132"/>
      <c r="C254" s="132"/>
      <c r="D254" s="133" t="s">
        <v>94</v>
      </c>
      <c r="E254" s="134">
        <f>E257+E260+E255</f>
        <v>1943000</v>
      </c>
    </row>
    <row r="255" spans="1:5" s="120" customFormat="1" ht="12.75">
      <c r="A255" s="135"/>
      <c r="B255" s="136">
        <v>90002</v>
      </c>
      <c r="C255" s="136"/>
      <c r="D255" s="268" t="s">
        <v>121</v>
      </c>
      <c r="E255" s="137">
        <f>E256</f>
        <v>900000</v>
      </c>
    </row>
    <row r="256" spans="1:5" s="128" customFormat="1" ht="25.5">
      <c r="A256" s="156"/>
      <c r="B256" s="157"/>
      <c r="C256" s="138">
        <v>2610</v>
      </c>
      <c r="D256" s="38" t="s">
        <v>229</v>
      </c>
      <c r="E256" s="546">
        <v>900000</v>
      </c>
    </row>
    <row r="257" spans="1:6" s="120" customFormat="1" ht="12.75">
      <c r="A257" s="135"/>
      <c r="B257" s="136">
        <v>90003</v>
      </c>
      <c r="C257" s="136"/>
      <c r="D257" s="247" t="s">
        <v>96</v>
      </c>
      <c r="E257" s="137">
        <f>SUM(E258:E259)</f>
        <v>100000</v>
      </c>
      <c r="F257" s="403"/>
    </row>
    <row r="258" spans="1:5" s="398" customFormat="1" ht="12.75">
      <c r="A258" s="135"/>
      <c r="B258" s="399"/>
      <c r="C258" s="138">
        <v>4300</v>
      </c>
      <c r="D258" s="400" t="s">
        <v>8</v>
      </c>
      <c r="E258" s="508">
        <f>100000-128</f>
        <v>99872</v>
      </c>
    </row>
    <row r="259" spans="1:5" s="398" customFormat="1" ht="12.75">
      <c r="A259" s="135"/>
      <c r="B259" s="399"/>
      <c r="C259" s="402">
        <v>4430</v>
      </c>
      <c r="D259" s="90" t="s">
        <v>9</v>
      </c>
      <c r="E259" s="509">
        <v>128</v>
      </c>
    </row>
    <row r="260" spans="1:5" s="120" customFormat="1" ht="12.75">
      <c r="A260" s="135"/>
      <c r="B260" s="136">
        <v>90095</v>
      </c>
      <c r="C260" s="136"/>
      <c r="D260" s="247" t="s">
        <v>5</v>
      </c>
      <c r="E260" s="137">
        <f>SUM(E261:E263)</f>
        <v>943000</v>
      </c>
    </row>
    <row r="261" spans="1:5" s="128" customFormat="1" ht="12.75">
      <c r="A261" s="156"/>
      <c r="B261" s="157"/>
      <c r="C261" s="37">
        <v>3030</v>
      </c>
      <c r="D261" s="38" t="s">
        <v>152</v>
      </c>
      <c r="E261" s="508">
        <v>995</v>
      </c>
    </row>
    <row r="262" spans="1:6" s="128" customFormat="1" ht="12.75">
      <c r="A262" s="156"/>
      <c r="B262" s="157"/>
      <c r="C262" s="37">
        <v>4270</v>
      </c>
      <c r="D262" s="38" t="s">
        <v>2</v>
      </c>
      <c r="E262" s="508">
        <v>31000</v>
      </c>
      <c r="F262" s="524"/>
    </row>
    <row r="263" spans="1:5" s="128" customFormat="1" ht="13.5" thickBot="1">
      <c r="A263" s="572"/>
      <c r="B263" s="573"/>
      <c r="C263" s="42">
        <v>4300</v>
      </c>
      <c r="D263" s="43" t="s">
        <v>8</v>
      </c>
      <c r="E263" s="523">
        <f>419000-995+500000-7000</f>
        <v>911005</v>
      </c>
    </row>
    <row r="264" spans="1:5" s="28" customFormat="1" ht="13.5" thickBot="1">
      <c r="A264" s="582" t="s">
        <v>122</v>
      </c>
      <c r="B264" s="583"/>
      <c r="C264" s="583"/>
      <c r="D264" s="584"/>
      <c r="E264" s="27">
        <f>E265</f>
        <v>9258250</v>
      </c>
    </row>
    <row r="265" spans="1:5" s="17" customFormat="1" ht="12.75">
      <c r="A265" s="29">
        <v>754</v>
      </c>
      <c r="B265" s="30"/>
      <c r="C265" s="30"/>
      <c r="D265" s="31" t="s">
        <v>46</v>
      </c>
      <c r="E265" s="32">
        <f>E266</f>
        <v>9258250</v>
      </c>
    </row>
    <row r="266" spans="1:5" s="17" customFormat="1" ht="12.75">
      <c r="A266" s="33"/>
      <c r="B266" s="34">
        <v>75416</v>
      </c>
      <c r="C266" s="34"/>
      <c r="D266" s="247" t="s">
        <v>123</v>
      </c>
      <c r="E266" s="35">
        <f>SUM(E267:E277)</f>
        <v>9258250</v>
      </c>
    </row>
    <row r="267" spans="1:5" s="120" customFormat="1" ht="12.75">
      <c r="A267" s="135"/>
      <c r="B267" s="399"/>
      <c r="C267" s="37">
        <v>4010</v>
      </c>
      <c r="D267" s="90" t="s">
        <v>24</v>
      </c>
      <c r="E267" s="508">
        <f>6167910+30000</f>
        <v>6197910</v>
      </c>
    </row>
    <row r="268" spans="1:5" s="120" customFormat="1" ht="12.75">
      <c r="A268" s="135"/>
      <c r="B268" s="399"/>
      <c r="C268" s="37">
        <v>4040</v>
      </c>
      <c r="D268" s="90" t="s">
        <v>31</v>
      </c>
      <c r="E268" s="508">
        <f>505869-30000</f>
        <v>475869</v>
      </c>
    </row>
    <row r="269" spans="1:5" s="120" customFormat="1" ht="12.75">
      <c r="A269" s="135"/>
      <c r="B269" s="399"/>
      <c r="C269" s="37">
        <v>4110</v>
      </c>
      <c r="D269" s="90" t="s">
        <v>25</v>
      </c>
      <c r="E269" s="508">
        <v>1188272</v>
      </c>
    </row>
    <row r="270" spans="1:5" s="120" customFormat="1" ht="12.75">
      <c r="A270" s="135"/>
      <c r="B270" s="399"/>
      <c r="C270" s="37">
        <v>4120</v>
      </c>
      <c r="D270" s="90" t="s">
        <v>26</v>
      </c>
      <c r="E270" s="508">
        <v>161980</v>
      </c>
    </row>
    <row r="271" spans="1:5" s="120" customFormat="1" ht="12.75">
      <c r="A271" s="135"/>
      <c r="B271" s="399"/>
      <c r="C271" s="37">
        <v>4210</v>
      </c>
      <c r="D271" s="90" t="s">
        <v>7</v>
      </c>
      <c r="E271" s="508">
        <f>534991-45000</f>
        <v>489991</v>
      </c>
    </row>
    <row r="272" spans="1:5" s="120" customFormat="1" ht="12.75">
      <c r="A272" s="135"/>
      <c r="B272" s="399"/>
      <c r="C272" s="37">
        <v>4260</v>
      </c>
      <c r="D272" s="90" t="s">
        <v>27</v>
      </c>
      <c r="E272" s="508">
        <f>52303+6000</f>
        <v>58303</v>
      </c>
    </row>
    <row r="273" spans="1:5" s="120" customFormat="1" ht="12.75">
      <c r="A273" s="135"/>
      <c r="B273" s="399"/>
      <c r="C273" s="37">
        <v>4270</v>
      </c>
      <c r="D273" s="90" t="s">
        <v>2</v>
      </c>
      <c r="E273" s="508">
        <v>122357</v>
      </c>
    </row>
    <row r="274" spans="1:5" s="120" customFormat="1" ht="12.75">
      <c r="A274" s="135"/>
      <c r="B274" s="399"/>
      <c r="C274" s="37">
        <v>4300</v>
      </c>
      <c r="D274" s="90" t="s">
        <v>8</v>
      </c>
      <c r="E274" s="508">
        <v>343395</v>
      </c>
    </row>
    <row r="275" spans="1:5" s="120" customFormat="1" ht="12.75">
      <c r="A275" s="135"/>
      <c r="B275" s="399"/>
      <c r="C275" s="37">
        <v>4410</v>
      </c>
      <c r="D275" s="90" t="s">
        <v>28</v>
      </c>
      <c r="E275" s="508">
        <v>12847</v>
      </c>
    </row>
    <row r="276" spans="1:5" s="120" customFormat="1" ht="12.75">
      <c r="A276" s="135"/>
      <c r="B276" s="399"/>
      <c r="C276" s="37">
        <v>4430</v>
      </c>
      <c r="D276" s="90" t="s">
        <v>9</v>
      </c>
      <c r="E276" s="508">
        <v>35066</v>
      </c>
    </row>
    <row r="277" spans="1:5" s="120" customFormat="1" ht="13.5" thickBot="1">
      <c r="A277" s="404"/>
      <c r="B277" s="405"/>
      <c r="C277" s="42">
        <v>4440</v>
      </c>
      <c r="D277" s="336" t="s">
        <v>29</v>
      </c>
      <c r="E277" s="523">
        <v>172260</v>
      </c>
    </row>
    <row r="278" spans="1:5" s="28" customFormat="1" ht="13.5" thickBot="1">
      <c r="A278" s="582" t="s">
        <v>197</v>
      </c>
      <c r="B278" s="583"/>
      <c r="C278" s="583"/>
      <c r="D278" s="584"/>
      <c r="E278" s="27">
        <f>E279</f>
        <v>239690</v>
      </c>
    </row>
    <row r="279" spans="1:5" s="17" customFormat="1" ht="12.75">
      <c r="A279" s="116" t="s">
        <v>111</v>
      </c>
      <c r="B279" s="30"/>
      <c r="C279" s="30"/>
      <c r="D279" s="31" t="s">
        <v>0</v>
      </c>
      <c r="E279" s="32">
        <f>E280+E282+E286+E284</f>
        <v>239690</v>
      </c>
    </row>
    <row r="280" spans="1:5" s="17" customFormat="1" ht="12.75">
      <c r="A280" s="33"/>
      <c r="B280" s="117" t="s">
        <v>112</v>
      </c>
      <c r="C280" s="34"/>
      <c r="D280" s="250" t="s">
        <v>1</v>
      </c>
      <c r="E280" s="35">
        <f>E281</f>
        <v>155000</v>
      </c>
    </row>
    <row r="281" spans="1:5" s="17" customFormat="1" ht="12.75">
      <c r="A281" s="33"/>
      <c r="B281" s="36"/>
      <c r="C281" s="37">
        <v>4270</v>
      </c>
      <c r="D281" s="38" t="s">
        <v>2</v>
      </c>
      <c r="E281" s="39">
        <v>155000</v>
      </c>
    </row>
    <row r="282" spans="1:5" s="17" customFormat="1" ht="38.25">
      <c r="A282" s="33"/>
      <c r="B282" s="117" t="s">
        <v>113</v>
      </c>
      <c r="C282" s="34"/>
      <c r="D282" s="250" t="s">
        <v>3</v>
      </c>
      <c r="E282" s="35">
        <f>E283</f>
        <v>2100</v>
      </c>
    </row>
    <row r="283" spans="1:5" s="17" customFormat="1" ht="12.75">
      <c r="A283" s="33"/>
      <c r="B283" s="36"/>
      <c r="C283" s="37">
        <v>4100</v>
      </c>
      <c r="D283" s="38" t="s">
        <v>4</v>
      </c>
      <c r="E283" s="39">
        <v>2100</v>
      </c>
    </row>
    <row r="284" spans="1:5" s="17" customFormat="1" ht="12.75">
      <c r="A284" s="33"/>
      <c r="B284" s="117" t="s">
        <v>221</v>
      </c>
      <c r="C284" s="34"/>
      <c r="D284" s="250" t="s">
        <v>222</v>
      </c>
      <c r="E284" s="35">
        <f>E285</f>
        <v>5040</v>
      </c>
    </row>
    <row r="285" spans="1:5" s="17" customFormat="1" ht="25.5">
      <c r="A285" s="33"/>
      <c r="B285" s="36"/>
      <c r="C285" s="37">
        <v>2850</v>
      </c>
      <c r="D285" s="38" t="s">
        <v>223</v>
      </c>
      <c r="E285" s="39">
        <v>5040</v>
      </c>
    </row>
    <row r="286" spans="1:5" s="17" customFormat="1" ht="12.75">
      <c r="A286" s="33"/>
      <c r="B286" s="117" t="s">
        <v>114</v>
      </c>
      <c r="C286" s="34"/>
      <c r="D286" s="250" t="s">
        <v>5</v>
      </c>
      <c r="E286" s="35">
        <f>SUM(E287:E289)</f>
        <v>77550</v>
      </c>
    </row>
    <row r="287" spans="1:5" s="17" customFormat="1" ht="12.75">
      <c r="A287" s="33"/>
      <c r="B287" s="36"/>
      <c r="C287" s="37">
        <v>3020</v>
      </c>
      <c r="D287" s="38" t="s">
        <v>6</v>
      </c>
      <c r="E287" s="39">
        <f>5000-1000</f>
        <v>4000</v>
      </c>
    </row>
    <row r="288" spans="1:5" s="17" customFormat="1" ht="12.75">
      <c r="A288" s="33"/>
      <c r="B288" s="36"/>
      <c r="C288" s="37">
        <v>4210</v>
      </c>
      <c r="D288" s="38" t="s">
        <v>7</v>
      </c>
      <c r="E288" s="39">
        <f>44750+8700+3000+9020+1000</f>
        <v>66470</v>
      </c>
    </row>
    <row r="289" spans="1:5" s="17" customFormat="1" ht="13.5" thickBot="1">
      <c r="A289" s="33"/>
      <c r="B289" s="36"/>
      <c r="C289" s="37">
        <v>4300</v>
      </c>
      <c r="D289" s="43" t="s">
        <v>8</v>
      </c>
      <c r="E289" s="39">
        <f>16100-9020</f>
        <v>7080</v>
      </c>
    </row>
    <row r="290" spans="1:5" s="28" customFormat="1" ht="13.5" thickBot="1">
      <c r="A290" s="582" t="s">
        <v>198</v>
      </c>
      <c r="B290" s="583"/>
      <c r="C290" s="583"/>
      <c r="D290" s="584"/>
      <c r="E290" s="27">
        <f>E291</f>
        <v>593176</v>
      </c>
    </row>
    <row r="291" spans="1:5" s="17" customFormat="1" ht="12.75">
      <c r="A291" s="29">
        <v>750</v>
      </c>
      <c r="B291" s="30"/>
      <c r="C291" s="30"/>
      <c r="D291" s="31" t="s">
        <v>22</v>
      </c>
      <c r="E291" s="32">
        <f>E292</f>
        <v>593176</v>
      </c>
    </row>
    <row r="292" spans="1:5" s="17" customFormat="1" ht="12.75">
      <c r="A292" s="33"/>
      <c r="B292" s="34">
        <v>75023</v>
      </c>
      <c r="C292" s="34"/>
      <c r="D292" s="250" t="s">
        <v>245</v>
      </c>
      <c r="E292" s="35">
        <f>SUM(E293:E294)</f>
        <v>593176</v>
      </c>
    </row>
    <row r="293" spans="1:5" s="17" customFormat="1" ht="12.75">
      <c r="A293" s="33"/>
      <c r="B293" s="36"/>
      <c r="C293" s="37">
        <v>4210</v>
      </c>
      <c r="D293" s="38" t="s">
        <v>7</v>
      </c>
      <c r="E293" s="39">
        <f>6000+3000</f>
        <v>9000</v>
      </c>
    </row>
    <row r="294" spans="1:5" s="17" customFormat="1" ht="13.5" thickBot="1">
      <c r="A294" s="33"/>
      <c r="B294" s="36"/>
      <c r="C294" s="45">
        <v>4300</v>
      </c>
      <c r="D294" s="43" t="s">
        <v>8</v>
      </c>
      <c r="E294" s="39">
        <f>587176-3000</f>
        <v>584176</v>
      </c>
    </row>
    <row r="295" spans="1:5" s="28" customFormat="1" ht="13.5" thickBot="1">
      <c r="A295" s="582" t="s">
        <v>199</v>
      </c>
      <c r="B295" s="583"/>
      <c r="C295" s="583"/>
      <c r="D295" s="584"/>
      <c r="E295" s="27">
        <f>E296</f>
        <v>4845551</v>
      </c>
    </row>
    <row r="296" spans="1:5" s="17" customFormat="1" ht="12.75">
      <c r="A296" s="29">
        <v>750</v>
      </c>
      <c r="B296" s="30"/>
      <c r="C296" s="30"/>
      <c r="D296" s="31" t="s">
        <v>22</v>
      </c>
      <c r="E296" s="32">
        <f>E297</f>
        <v>4845551</v>
      </c>
    </row>
    <row r="297" spans="1:5" s="17" customFormat="1" ht="12.75">
      <c r="A297" s="33"/>
      <c r="B297" s="34">
        <v>75023</v>
      </c>
      <c r="C297" s="34"/>
      <c r="D297" s="250" t="s">
        <v>245</v>
      </c>
      <c r="E297" s="35">
        <f>SUM(E298:E302)</f>
        <v>4845551</v>
      </c>
    </row>
    <row r="298" spans="1:9" s="61" customFormat="1" ht="12.75">
      <c r="A298" s="101"/>
      <c r="B298" s="304"/>
      <c r="C298" s="38">
        <v>3030</v>
      </c>
      <c r="D298" s="96" t="s">
        <v>17</v>
      </c>
      <c r="E298" s="165">
        <v>17000</v>
      </c>
      <c r="G298" s="150"/>
      <c r="I298" s="150"/>
    </row>
    <row r="299" spans="1:5" s="17" customFormat="1" ht="12.75">
      <c r="A299" s="65"/>
      <c r="B299" s="77"/>
      <c r="C299" s="389">
        <v>4110</v>
      </c>
      <c r="D299" s="390" t="s">
        <v>25</v>
      </c>
      <c r="E299" s="39">
        <v>2414</v>
      </c>
    </row>
    <row r="300" spans="1:5" s="17" customFormat="1" ht="12.75">
      <c r="A300" s="65"/>
      <c r="B300" s="77"/>
      <c r="C300" s="391">
        <v>4120</v>
      </c>
      <c r="D300" s="390" t="s">
        <v>26</v>
      </c>
      <c r="E300" s="39">
        <v>331</v>
      </c>
    </row>
    <row r="301" spans="1:7" s="17" customFormat="1" ht="12.75">
      <c r="A301" s="33"/>
      <c r="B301" s="36"/>
      <c r="C301" s="37">
        <v>4210</v>
      </c>
      <c r="D301" s="90" t="s">
        <v>7</v>
      </c>
      <c r="E301" s="39">
        <f>2806606+508000</f>
        <v>3314606</v>
      </c>
      <c r="G301" s="105"/>
    </row>
    <row r="302" spans="1:7" s="17" customFormat="1" ht="13.5" thickBot="1">
      <c r="A302" s="33"/>
      <c r="B302" s="36"/>
      <c r="C302" s="45">
        <v>4300</v>
      </c>
      <c r="D302" s="43" t="s">
        <v>8</v>
      </c>
      <c r="E302" s="39">
        <v>1511200</v>
      </c>
      <c r="G302" s="105"/>
    </row>
    <row r="303" spans="1:5" s="28" customFormat="1" ht="13.5" thickBot="1">
      <c r="A303" s="582" t="s">
        <v>200</v>
      </c>
      <c r="B303" s="583"/>
      <c r="C303" s="583"/>
      <c r="D303" s="584"/>
      <c r="E303" s="27">
        <f>E304</f>
        <v>1415200</v>
      </c>
    </row>
    <row r="304" spans="1:5" s="17" customFormat="1" ht="12.75">
      <c r="A304" s="29">
        <v>750</v>
      </c>
      <c r="B304" s="30"/>
      <c r="C304" s="30"/>
      <c r="D304" s="31" t="s">
        <v>22</v>
      </c>
      <c r="E304" s="32">
        <f>E305</f>
        <v>1415200</v>
      </c>
    </row>
    <row r="305" spans="1:5" s="17" customFormat="1" ht="12.75">
      <c r="A305" s="33"/>
      <c r="B305" s="34">
        <v>75023</v>
      </c>
      <c r="C305" s="34"/>
      <c r="D305" s="250" t="s">
        <v>245</v>
      </c>
      <c r="E305" s="35">
        <f>SUM(E306:E308)</f>
        <v>1415200</v>
      </c>
    </row>
    <row r="306" spans="1:5" s="17" customFormat="1" ht="12.75">
      <c r="A306" s="33"/>
      <c r="B306" s="36"/>
      <c r="C306" s="37">
        <v>4210</v>
      </c>
      <c r="D306" s="38" t="s">
        <v>7</v>
      </c>
      <c r="E306" s="39">
        <v>9500</v>
      </c>
    </row>
    <row r="307" spans="1:7" s="17" customFormat="1" ht="12.75">
      <c r="A307" s="33"/>
      <c r="B307" s="36"/>
      <c r="C307" s="37">
        <v>4300</v>
      </c>
      <c r="D307" s="38" t="s">
        <v>8</v>
      </c>
      <c r="E307" s="39">
        <f>1253300+35200+80000</f>
        <v>1368500</v>
      </c>
      <c r="G307" s="105"/>
    </row>
    <row r="308" spans="1:5" s="17" customFormat="1" ht="13.5" thickBot="1">
      <c r="A308" s="33"/>
      <c r="B308" s="36"/>
      <c r="C308" s="37">
        <v>4430</v>
      </c>
      <c r="D308" s="38" t="s">
        <v>9</v>
      </c>
      <c r="E308" s="39">
        <v>37200</v>
      </c>
    </row>
    <row r="309" spans="1:5" s="28" customFormat="1" ht="13.5" thickBot="1">
      <c r="A309" s="582" t="s">
        <v>201</v>
      </c>
      <c r="B309" s="583"/>
      <c r="C309" s="583"/>
      <c r="D309" s="584"/>
      <c r="E309" s="27">
        <f>E310</f>
        <v>97900</v>
      </c>
    </row>
    <row r="310" spans="1:5" s="17" customFormat="1" ht="12.75">
      <c r="A310" s="29">
        <v>750</v>
      </c>
      <c r="B310" s="30"/>
      <c r="C310" s="30"/>
      <c r="D310" s="31" t="s">
        <v>22</v>
      </c>
      <c r="E310" s="32">
        <f>E313+E311</f>
        <v>97900</v>
      </c>
    </row>
    <row r="311" spans="1:5" s="17" customFormat="1" ht="12.75">
      <c r="A311" s="33"/>
      <c r="B311" s="34">
        <v>75023</v>
      </c>
      <c r="C311" s="34"/>
      <c r="D311" s="250" t="s">
        <v>245</v>
      </c>
      <c r="E311" s="35">
        <f>SUM(E312)</f>
        <v>15000</v>
      </c>
    </row>
    <row r="312" spans="1:8" s="17" customFormat="1" ht="12.75">
      <c r="A312" s="33"/>
      <c r="B312" s="36"/>
      <c r="C312" s="37">
        <v>4300</v>
      </c>
      <c r="D312" s="38" t="s">
        <v>8</v>
      </c>
      <c r="E312" s="39">
        <v>15000</v>
      </c>
      <c r="H312" s="105"/>
    </row>
    <row r="313" spans="1:5" s="17" customFormat="1" ht="12.75">
      <c r="A313" s="33"/>
      <c r="B313" s="34">
        <v>75095</v>
      </c>
      <c r="C313" s="110"/>
      <c r="D313" s="250" t="s">
        <v>5</v>
      </c>
      <c r="E313" s="35">
        <f>SUM(E314:E319)</f>
        <v>82900</v>
      </c>
    </row>
    <row r="314" spans="1:5" s="17" customFormat="1" ht="25.5">
      <c r="A314" s="33"/>
      <c r="B314" s="36"/>
      <c r="C314" s="37">
        <v>2820</v>
      </c>
      <c r="D314" s="90" t="s">
        <v>38</v>
      </c>
      <c r="E314" s="39">
        <v>6500</v>
      </c>
    </row>
    <row r="315" spans="1:5" s="17" customFormat="1" ht="12.75">
      <c r="A315" s="33"/>
      <c r="B315" s="36"/>
      <c r="C315" s="37">
        <v>3020</v>
      </c>
      <c r="D315" s="90" t="s">
        <v>6</v>
      </c>
      <c r="E315" s="39">
        <v>1805</v>
      </c>
    </row>
    <row r="316" spans="1:5" s="17" customFormat="1" ht="13.5" thickBot="1">
      <c r="A316" s="40"/>
      <c r="B316" s="41"/>
      <c r="C316" s="42">
        <v>4210</v>
      </c>
      <c r="D316" s="336" t="s">
        <v>7</v>
      </c>
      <c r="E316" s="44">
        <v>195</v>
      </c>
    </row>
    <row r="317" spans="1:5" s="17" customFormat="1" ht="12.75">
      <c r="A317" s="290"/>
      <c r="B317" s="553"/>
      <c r="C317" s="554">
        <v>4240</v>
      </c>
      <c r="D317" s="558" t="s">
        <v>39</v>
      </c>
      <c r="E317" s="557">
        <v>1400</v>
      </c>
    </row>
    <row r="318" spans="1:5" s="17" customFormat="1" ht="12.75">
      <c r="A318" s="33"/>
      <c r="B318" s="36"/>
      <c r="C318" s="37">
        <v>4300</v>
      </c>
      <c r="D318" s="90" t="s">
        <v>8</v>
      </c>
      <c r="E318" s="39">
        <f>48000+15000</f>
        <v>63000</v>
      </c>
    </row>
    <row r="319" spans="1:5" s="17" customFormat="1" ht="13.5" thickBot="1">
      <c r="A319" s="33"/>
      <c r="B319" s="36"/>
      <c r="C319" s="37">
        <v>4610</v>
      </c>
      <c r="D319" s="90" t="s">
        <v>40</v>
      </c>
      <c r="E319" s="39">
        <v>10000</v>
      </c>
    </row>
    <row r="320" spans="1:5" s="28" customFormat="1" ht="13.5" thickBot="1">
      <c r="A320" s="582" t="s">
        <v>129</v>
      </c>
      <c r="B320" s="583"/>
      <c r="C320" s="583"/>
      <c r="D320" s="584"/>
      <c r="E320" s="27">
        <f>E321</f>
        <v>106627</v>
      </c>
    </row>
    <row r="321" spans="1:5" s="17" customFormat="1" ht="12.75">
      <c r="A321" s="29">
        <v>754</v>
      </c>
      <c r="B321" s="30"/>
      <c r="C321" s="30"/>
      <c r="D321" s="31" t="s">
        <v>46</v>
      </c>
      <c r="E321" s="32">
        <f>E322+E328</f>
        <v>106627</v>
      </c>
    </row>
    <row r="322" spans="1:5" s="17" customFormat="1" ht="12.75">
      <c r="A322" s="65"/>
      <c r="B322" s="34">
        <v>75412</v>
      </c>
      <c r="C322" s="34"/>
      <c r="D322" s="392" t="s">
        <v>47</v>
      </c>
      <c r="E322" s="35">
        <f>SUM(E323:E327)</f>
        <v>77600</v>
      </c>
    </row>
    <row r="323" spans="1:5" s="17" customFormat="1" ht="12.75">
      <c r="A323" s="33"/>
      <c r="B323" s="36"/>
      <c r="C323" s="37">
        <v>4210</v>
      </c>
      <c r="D323" s="90" t="s">
        <v>7</v>
      </c>
      <c r="E323" s="39">
        <f>35113+5808</f>
        <v>40921</v>
      </c>
    </row>
    <row r="324" spans="1:5" s="17" customFormat="1" ht="12.75">
      <c r="A324" s="33"/>
      <c r="B324" s="36"/>
      <c r="C324" s="37">
        <v>4260</v>
      </c>
      <c r="D324" s="90" t="s">
        <v>27</v>
      </c>
      <c r="E324" s="39">
        <f>8850-2076</f>
        <v>6774</v>
      </c>
    </row>
    <row r="325" spans="1:5" s="17" customFormat="1" ht="12.75">
      <c r="A325" s="33"/>
      <c r="B325" s="36"/>
      <c r="C325" s="37">
        <v>4270</v>
      </c>
      <c r="D325" s="90" t="s">
        <v>2</v>
      </c>
      <c r="E325" s="39">
        <f>12862-3703</f>
        <v>9159</v>
      </c>
    </row>
    <row r="326" spans="1:5" s="17" customFormat="1" ht="12.75">
      <c r="A326" s="33"/>
      <c r="B326" s="36"/>
      <c r="C326" s="37">
        <v>4300</v>
      </c>
      <c r="D326" s="90" t="s">
        <v>8</v>
      </c>
      <c r="E326" s="39">
        <f>15094+800</f>
        <v>15894</v>
      </c>
    </row>
    <row r="327" spans="1:5" s="17" customFormat="1" ht="12.75">
      <c r="A327" s="33"/>
      <c r="B327" s="301"/>
      <c r="C327" s="37">
        <v>4430</v>
      </c>
      <c r="D327" s="90" t="s">
        <v>9</v>
      </c>
      <c r="E327" s="39">
        <f>5681-829</f>
        <v>4852</v>
      </c>
    </row>
    <row r="328" spans="1:5" s="17" customFormat="1" ht="12.75">
      <c r="A328" s="33"/>
      <c r="B328" s="81">
        <v>75495</v>
      </c>
      <c r="C328" s="81"/>
      <c r="D328" s="393" t="s">
        <v>5</v>
      </c>
      <c r="E328" s="82">
        <f>SUM(E329:E331)</f>
        <v>29027</v>
      </c>
    </row>
    <row r="329" spans="1:5" s="17" customFormat="1" ht="12.75">
      <c r="A329" s="33"/>
      <c r="B329" s="36"/>
      <c r="C329" s="37">
        <v>3020</v>
      </c>
      <c r="D329" s="90" t="s">
        <v>6</v>
      </c>
      <c r="E329" s="39">
        <v>15000</v>
      </c>
    </row>
    <row r="330" spans="1:5" s="17" customFormat="1" ht="12.75">
      <c r="A330" s="33"/>
      <c r="B330" s="36"/>
      <c r="C330" s="37">
        <v>4210</v>
      </c>
      <c r="D330" s="90" t="s">
        <v>7</v>
      </c>
      <c r="E330" s="39">
        <v>2000</v>
      </c>
    </row>
    <row r="331" spans="1:5" s="17" customFormat="1" ht="13.5" thickBot="1">
      <c r="A331" s="40"/>
      <c r="B331" s="41"/>
      <c r="C331" s="42">
        <v>4300</v>
      </c>
      <c r="D331" s="336" t="s">
        <v>8</v>
      </c>
      <c r="E331" s="502">
        <v>12027</v>
      </c>
    </row>
    <row r="332" spans="1:5" s="28" customFormat="1" ht="13.5" thickBot="1">
      <c r="A332" s="582" t="s">
        <v>202</v>
      </c>
      <c r="B332" s="583"/>
      <c r="C332" s="583"/>
      <c r="D332" s="584"/>
      <c r="E332" s="27">
        <f>E333</f>
        <v>23000</v>
      </c>
    </row>
    <row r="333" spans="1:5" s="17" customFormat="1" ht="12.75">
      <c r="A333" s="29">
        <v>754</v>
      </c>
      <c r="B333" s="30"/>
      <c r="C333" s="30"/>
      <c r="D333" s="31" t="s">
        <v>46</v>
      </c>
      <c r="E333" s="80">
        <f>E334</f>
        <v>23000</v>
      </c>
    </row>
    <row r="334" spans="1:5" s="17" customFormat="1" ht="12.75">
      <c r="A334" s="33"/>
      <c r="B334" s="34">
        <v>75495</v>
      </c>
      <c r="C334" s="34"/>
      <c r="D334" s="247" t="s">
        <v>5</v>
      </c>
      <c r="E334" s="82">
        <f>SUM(E335:E336)</f>
        <v>23000</v>
      </c>
    </row>
    <row r="335" spans="1:5" s="61" customFormat="1" ht="12.75">
      <c r="A335" s="33"/>
      <c r="B335" s="36"/>
      <c r="C335" s="37">
        <v>4210</v>
      </c>
      <c r="D335" s="90" t="s">
        <v>7</v>
      </c>
      <c r="E335" s="165">
        <v>11000</v>
      </c>
    </row>
    <row r="336" spans="1:5" s="61" customFormat="1" ht="13.5" thickBot="1">
      <c r="A336" s="40"/>
      <c r="B336" s="41"/>
      <c r="C336" s="37">
        <v>4300</v>
      </c>
      <c r="D336" s="90" t="s">
        <v>8</v>
      </c>
      <c r="E336" s="243">
        <f>95000-23000-60000</f>
        <v>12000</v>
      </c>
    </row>
    <row r="337" spans="1:5" s="28" customFormat="1" ht="13.5" hidden="1" thickBot="1">
      <c r="A337" s="582" t="s">
        <v>234</v>
      </c>
      <c r="B337" s="583"/>
      <c r="C337" s="583"/>
      <c r="D337" s="584"/>
      <c r="E337" s="27">
        <f>E338</f>
        <v>0</v>
      </c>
    </row>
    <row r="338" spans="1:5" s="17" customFormat="1" ht="12.75" hidden="1">
      <c r="A338" s="29">
        <v>750</v>
      </c>
      <c r="B338" s="30"/>
      <c r="C338" s="30"/>
      <c r="D338" s="31" t="s">
        <v>22</v>
      </c>
      <c r="E338" s="80">
        <f>E339</f>
        <v>0</v>
      </c>
    </row>
    <row r="339" spans="1:5" s="17" customFormat="1" ht="12.75" hidden="1">
      <c r="A339" s="33"/>
      <c r="B339" s="34">
        <v>75023</v>
      </c>
      <c r="C339" s="34"/>
      <c r="D339" s="250" t="s">
        <v>245</v>
      </c>
      <c r="E339" s="82">
        <f>SUM(E340:E344)</f>
        <v>0</v>
      </c>
    </row>
    <row r="340" spans="1:5" s="17" customFormat="1" ht="12.75" hidden="1">
      <c r="A340" s="33"/>
      <c r="B340" s="36"/>
      <c r="C340" s="37">
        <v>3020</v>
      </c>
      <c r="D340" s="90" t="s">
        <v>6</v>
      </c>
      <c r="E340" s="39"/>
    </row>
    <row r="341" spans="1:5" s="17" customFormat="1" ht="12.75" hidden="1">
      <c r="A341" s="33"/>
      <c r="B341" s="36"/>
      <c r="C341" s="37">
        <v>4580</v>
      </c>
      <c r="D341" s="90" t="s">
        <v>232</v>
      </c>
      <c r="E341" s="39"/>
    </row>
    <row r="342" spans="1:5" s="17" customFormat="1" ht="12.75" hidden="1">
      <c r="A342" s="33"/>
      <c r="B342" s="36"/>
      <c r="C342" s="37">
        <v>4590</v>
      </c>
      <c r="D342" s="90" t="s">
        <v>235</v>
      </c>
      <c r="E342" s="39"/>
    </row>
    <row r="343" spans="1:5" s="17" customFormat="1" ht="25.5" hidden="1">
      <c r="A343" s="33"/>
      <c r="B343" s="36"/>
      <c r="C343" s="37">
        <v>4600</v>
      </c>
      <c r="D343" s="90" t="s">
        <v>236</v>
      </c>
      <c r="E343" s="39"/>
    </row>
    <row r="344" spans="1:5" s="17" customFormat="1" ht="13.5" hidden="1" thickBot="1">
      <c r="A344" s="33"/>
      <c r="B344" s="36"/>
      <c r="C344" s="37">
        <v>4610</v>
      </c>
      <c r="D344" s="90" t="s">
        <v>237</v>
      </c>
      <c r="E344" s="39"/>
    </row>
    <row r="345" spans="1:5" s="28" customFormat="1" ht="13.5" thickBot="1">
      <c r="A345" s="582" t="s">
        <v>203</v>
      </c>
      <c r="B345" s="583"/>
      <c r="C345" s="583"/>
      <c r="D345" s="584"/>
      <c r="E345" s="27">
        <f>E346</f>
        <v>22900</v>
      </c>
    </row>
    <row r="346" spans="1:5" s="17" customFormat="1" ht="12.75">
      <c r="A346" s="29">
        <v>750</v>
      </c>
      <c r="B346" s="30"/>
      <c r="C346" s="30"/>
      <c r="D346" s="31" t="s">
        <v>22</v>
      </c>
      <c r="E346" s="80">
        <f>E347</f>
        <v>22900</v>
      </c>
    </row>
    <row r="347" spans="1:5" s="17" customFormat="1" ht="12.75">
      <c r="A347" s="33"/>
      <c r="B347" s="34">
        <v>75023</v>
      </c>
      <c r="C347" s="34"/>
      <c r="D347" s="250" t="s">
        <v>245</v>
      </c>
      <c r="E347" s="82">
        <f>SUM(E348:E349)</f>
        <v>22900</v>
      </c>
    </row>
    <row r="348" spans="1:5" s="17" customFormat="1" ht="12.75">
      <c r="A348" s="33"/>
      <c r="B348" s="36"/>
      <c r="C348" s="37">
        <v>4210</v>
      </c>
      <c r="D348" s="90" t="s">
        <v>7</v>
      </c>
      <c r="E348" s="39">
        <f>8000+3100</f>
        <v>11100</v>
      </c>
    </row>
    <row r="349" spans="1:5" s="17" customFormat="1" ht="13.5" thickBot="1">
      <c r="A349" s="40"/>
      <c r="B349" s="41"/>
      <c r="C349" s="42">
        <v>4300</v>
      </c>
      <c r="D349" s="336" t="s">
        <v>8</v>
      </c>
      <c r="E349" s="44">
        <f>14900-3100</f>
        <v>11800</v>
      </c>
    </row>
    <row r="350" spans="1:5" s="139" customFormat="1" ht="13.5" thickBot="1">
      <c r="A350" s="579" t="s">
        <v>204</v>
      </c>
      <c r="B350" s="580"/>
      <c r="C350" s="580"/>
      <c r="D350" s="581"/>
      <c r="E350" s="87">
        <f>E351</f>
        <v>986824</v>
      </c>
    </row>
    <row r="351" spans="1:5" s="17" customFormat="1" ht="12.75">
      <c r="A351" s="29">
        <v>750</v>
      </c>
      <c r="B351" s="30"/>
      <c r="C351" s="30"/>
      <c r="D351" s="31" t="s">
        <v>22</v>
      </c>
      <c r="E351" s="32">
        <f>E352</f>
        <v>986824</v>
      </c>
    </row>
    <row r="352" spans="1:5" s="17" customFormat="1" ht="12.75">
      <c r="A352" s="341"/>
      <c r="B352" s="34">
        <v>75023</v>
      </c>
      <c r="C352" s="110"/>
      <c r="D352" s="250" t="s">
        <v>245</v>
      </c>
      <c r="E352" s="35">
        <f>SUM(E353:E356)</f>
        <v>986824</v>
      </c>
    </row>
    <row r="353" spans="1:5" s="17" customFormat="1" ht="12.75">
      <c r="A353" s="65"/>
      <c r="B353" s="77"/>
      <c r="C353" s="389">
        <v>4110</v>
      </c>
      <c r="D353" s="390" t="s">
        <v>25</v>
      </c>
      <c r="E353" s="39">
        <f>2000+3000</f>
        <v>5000</v>
      </c>
    </row>
    <row r="354" spans="1:5" s="17" customFormat="1" ht="12.75">
      <c r="A354" s="65"/>
      <c r="B354" s="77"/>
      <c r="C354" s="391">
        <v>4120</v>
      </c>
      <c r="D354" s="390" t="s">
        <v>26</v>
      </c>
      <c r="E354" s="39">
        <v>1000</v>
      </c>
    </row>
    <row r="355" spans="1:5" s="17" customFormat="1" ht="12.75">
      <c r="A355" s="65"/>
      <c r="B355" s="77"/>
      <c r="C355" s="37">
        <v>4210</v>
      </c>
      <c r="D355" s="90" t="s">
        <v>7</v>
      </c>
      <c r="E355" s="39">
        <v>3000</v>
      </c>
    </row>
    <row r="356" spans="1:5" s="17" customFormat="1" ht="13.5" thickBot="1">
      <c r="A356" s="65"/>
      <c r="B356" s="77"/>
      <c r="C356" s="37">
        <v>4300</v>
      </c>
      <c r="D356" s="390" t="s">
        <v>8</v>
      </c>
      <c r="E356" s="39">
        <f>983824-6000</f>
        <v>977824</v>
      </c>
    </row>
    <row r="357" spans="1:5" s="139" customFormat="1" ht="13.5" thickBot="1">
      <c r="A357" s="579" t="s">
        <v>136</v>
      </c>
      <c r="B357" s="580"/>
      <c r="C357" s="580"/>
      <c r="D357" s="581"/>
      <c r="E357" s="87">
        <f>E358+E361+E364</f>
        <v>321000</v>
      </c>
    </row>
    <row r="358" spans="1:5" s="17" customFormat="1" ht="12.75">
      <c r="A358" s="29">
        <v>750</v>
      </c>
      <c r="B358" s="30"/>
      <c r="C358" s="30"/>
      <c r="D358" s="31" t="s">
        <v>22</v>
      </c>
      <c r="E358" s="394">
        <f>E359</f>
        <v>13500</v>
      </c>
    </row>
    <row r="359" spans="1:5" s="17" customFormat="1" ht="12.75">
      <c r="A359" s="341"/>
      <c r="B359" s="34">
        <v>75023</v>
      </c>
      <c r="C359" s="110"/>
      <c r="D359" s="268" t="s">
        <v>245</v>
      </c>
      <c r="E359" s="35">
        <f>SUM(E360:E360)</f>
        <v>13500</v>
      </c>
    </row>
    <row r="360" spans="1:5" s="17" customFormat="1" ht="13.5" thickBot="1">
      <c r="A360" s="65"/>
      <c r="B360" s="77"/>
      <c r="C360" s="37">
        <v>4300</v>
      </c>
      <c r="D360" s="406" t="s">
        <v>8</v>
      </c>
      <c r="E360" s="510">
        <v>13500</v>
      </c>
    </row>
    <row r="361" spans="1:5" s="17" customFormat="1" ht="12.75">
      <c r="A361" s="29">
        <v>900</v>
      </c>
      <c r="B361" s="30"/>
      <c r="C361" s="30"/>
      <c r="D361" s="31" t="s">
        <v>94</v>
      </c>
      <c r="E361" s="394">
        <f>E362</f>
        <v>67500</v>
      </c>
    </row>
    <row r="362" spans="1:5" s="17" customFormat="1" ht="12.75">
      <c r="A362" s="341"/>
      <c r="B362" s="34">
        <v>90095</v>
      </c>
      <c r="C362" s="110"/>
      <c r="D362" s="109" t="s">
        <v>5</v>
      </c>
      <c r="E362" s="511">
        <f>E363</f>
        <v>67500</v>
      </c>
    </row>
    <row r="363" spans="1:5" s="17" customFormat="1" ht="13.5" thickBot="1">
      <c r="A363" s="65"/>
      <c r="B363" s="77"/>
      <c r="C363" s="37">
        <v>4300</v>
      </c>
      <c r="D363" s="407" t="s">
        <v>8</v>
      </c>
      <c r="E363" s="510">
        <v>67500</v>
      </c>
    </row>
    <row r="364" spans="1:5" s="17" customFormat="1" ht="25.5">
      <c r="A364" s="29">
        <v>925</v>
      </c>
      <c r="B364" s="30"/>
      <c r="C364" s="30"/>
      <c r="D364" s="31" t="s">
        <v>105</v>
      </c>
      <c r="E364" s="394">
        <f>E365</f>
        <v>240000</v>
      </c>
    </row>
    <row r="365" spans="1:5" s="17" customFormat="1" ht="12.75">
      <c r="A365" s="341"/>
      <c r="B365" s="34">
        <v>92504</v>
      </c>
      <c r="C365" s="110"/>
      <c r="D365" s="109" t="s">
        <v>106</v>
      </c>
      <c r="E365" s="511">
        <f>E366</f>
        <v>240000</v>
      </c>
    </row>
    <row r="366" spans="1:5" s="17" customFormat="1" ht="13.5" thickBot="1">
      <c r="A366" s="112"/>
      <c r="B366" s="93"/>
      <c r="C366" s="42">
        <v>2520</v>
      </c>
      <c r="D366" s="408" t="s">
        <v>107</v>
      </c>
      <c r="E366" s="512">
        <v>240000</v>
      </c>
    </row>
    <row r="367" spans="1:5" s="139" customFormat="1" ht="13.5" thickBot="1">
      <c r="A367" s="579" t="s">
        <v>134</v>
      </c>
      <c r="B367" s="580"/>
      <c r="C367" s="580"/>
      <c r="D367" s="581"/>
      <c r="E367" s="87">
        <f>E368+E373+E376+E383+E379+E386</f>
        <v>1176000</v>
      </c>
    </row>
    <row r="368" spans="1:5" s="17" customFormat="1" ht="25.5">
      <c r="A368" s="29">
        <v>400</v>
      </c>
      <c r="B368" s="30"/>
      <c r="C368" s="30"/>
      <c r="D368" s="31" t="s">
        <v>10</v>
      </c>
      <c r="E368" s="32">
        <f>E369+E371</f>
        <v>350000</v>
      </c>
    </row>
    <row r="369" spans="1:5" s="17" customFormat="1" ht="12.75">
      <c r="A369" s="33"/>
      <c r="B369" s="34">
        <v>40001</v>
      </c>
      <c r="C369" s="34"/>
      <c r="D369" s="250" t="s">
        <v>11</v>
      </c>
      <c r="E369" s="35">
        <f>E370</f>
        <v>50000</v>
      </c>
    </row>
    <row r="370" spans="1:5" s="120" customFormat="1" ht="12.75">
      <c r="A370" s="135"/>
      <c r="B370" s="401"/>
      <c r="C370" s="138">
        <v>4300</v>
      </c>
      <c r="D370" s="400" t="s">
        <v>8</v>
      </c>
      <c r="E370" s="508">
        <v>50000</v>
      </c>
    </row>
    <row r="371" spans="1:5" s="17" customFormat="1" ht="12.75">
      <c r="A371" s="33"/>
      <c r="B371" s="34">
        <v>40002</v>
      </c>
      <c r="C371" s="34"/>
      <c r="D371" s="250" t="s">
        <v>12</v>
      </c>
      <c r="E371" s="35">
        <f>E372</f>
        <v>300000</v>
      </c>
    </row>
    <row r="372" spans="1:5" s="120" customFormat="1" ht="13.5" thickBot="1">
      <c r="A372" s="135"/>
      <c r="B372" s="401"/>
      <c r="C372" s="138">
        <v>4300</v>
      </c>
      <c r="D372" s="400" t="s">
        <v>8</v>
      </c>
      <c r="E372" s="508">
        <v>300000</v>
      </c>
    </row>
    <row r="373" spans="1:5" s="17" customFormat="1" ht="12.75">
      <c r="A373" s="29">
        <v>600</v>
      </c>
      <c r="B373" s="30"/>
      <c r="C373" s="30"/>
      <c r="D373" s="31" t="s">
        <v>14</v>
      </c>
      <c r="E373" s="32">
        <f>E374</f>
        <v>100000</v>
      </c>
    </row>
    <row r="374" spans="1:5" s="17" customFormat="1" ht="12.75">
      <c r="A374" s="33"/>
      <c r="B374" s="34">
        <v>60004</v>
      </c>
      <c r="C374" s="34"/>
      <c r="D374" s="250" t="s">
        <v>15</v>
      </c>
      <c r="E374" s="35">
        <f>E375</f>
        <v>100000</v>
      </c>
    </row>
    <row r="375" spans="1:5" s="120" customFormat="1" ht="13.5" thickBot="1">
      <c r="A375" s="135"/>
      <c r="B375" s="401"/>
      <c r="C375" s="138">
        <v>4300</v>
      </c>
      <c r="D375" s="400" t="s">
        <v>8</v>
      </c>
      <c r="E375" s="508">
        <v>100000</v>
      </c>
    </row>
    <row r="376" spans="1:5" s="17" customFormat="1" ht="12.75">
      <c r="A376" s="29">
        <v>700</v>
      </c>
      <c r="B376" s="30"/>
      <c r="C376" s="30"/>
      <c r="D376" s="31" t="s">
        <v>21</v>
      </c>
      <c r="E376" s="32">
        <f>E377</f>
        <v>136000</v>
      </c>
    </row>
    <row r="377" spans="1:5" s="17" customFormat="1" ht="12.75">
      <c r="A377" s="33"/>
      <c r="B377" s="34">
        <v>70095</v>
      </c>
      <c r="C377" s="34"/>
      <c r="D377" s="250" t="s">
        <v>5</v>
      </c>
      <c r="E377" s="35">
        <f>E378</f>
        <v>136000</v>
      </c>
    </row>
    <row r="378" spans="1:5" s="120" customFormat="1" ht="13.5" thickBot="1">
      <c r="A378" s="404"/>
      <c r="B378" s="559"/>
      <c r="C378" s="539">
        <v>4300</v>
      </c>
      <c r="D378" s="413" t="s">
        <v>8</v>
      </c>
      <c r="E378" s="523">
        <v>136000</v>
      </c>
    </row>
    <row r="379" spans="1:5" s="17" customFormat="1" ht="12.75">
      <c r="A379" s="29">
        <v>851</v>
      </c>
      <c r="B379" s="30"/>
      <c r="C379" s="30"/>
      <c r="D379" s="31" t="s">
        <v>71</v>
      </c>
      <c r="E379" s="32">
        <f>E380</f>
        <v>140000</v>
      </c>
    </row>
    <row r="380" spans="1:5" s="17" customFormat="1" ht="12.75">
      <c r="A380" s="33"/>
      <c r="B380" s="34">
        <v>85195</v>
      </c>
      <c r="C380" s="34"/>
      <c r="D380" s="250" t="s">
        <v>5</v>
      </c>
      <c r="E380" s="35">
        <f>SUM(E381:E382)</f>
        <v>140000</v>
      </c>
    </row>
    <row r="381" spans="1:5" s="120" customFormat="1" ht="12.75">
      <c r="A381" s="135"/>
      <c r="B381" s="401"/>
      <c r="C381" s="37">
        <v>3020</v>
      </c>
      <c r="D381" s="90" t="s">
        <v>6</v>
      </c>
      <c r="E381" s="508">
        <v>20000</v>
      </c>
    </row>
    <row r="382" spans="1:5" s="120" customFormat="1" ht="13.5" thickBot="1">
      <c r="A382" s="135"/>
      <c r="B382" s="401"/>
      <c r="C382" s="138">
        <v>4300</v>
      </c>
      <c r="D382" s="400" t="s">
        <v>8</v>
      </c>
      <c r="E382" s="509">
        <v>120000</v>
      </c>
    </row>
    <row r="383" spans="1:5" s="17" customFormat="1" ht="12.75">
      <c r="A383" s="29">
        <v>900</v>
      </c>
      <c r="B383" s="30"/>
      <c r="C383" s="30"/>
      <c r="D383" s="31" t="s">
        <v>94</v>
      </c>
      <c r="E383" s="32">
        <f>E384</f>
        <v>400000</v>
      </c>
    </row>
    <row r="384" spans="1:5" s="17" customFormat="1" ht="12.75">
      <c r="A384" s="65"/>
      <c r="B384" s="34">
        <v>90095</v>
      </c>
      <c r="C384" s="34"/>
      <c r="D384" s="250" t="s">
        <v>5</v>
      </c>
      <c r="E384" s="35">
        <f>SUM(E385:E385)</f>
        <v>400000</v>
      </c>
    </row>
    <row r="385" spans="1:5" s="17" customFormat="1" ht="13.5" thickBot="1">
      <c r="A385" s="409"/>
      <c r="B385" s="93"/>
      <c r="C385" s="138">
        <v>4300</v>
      </c>
      <c r="D385" s="400" t="s">
        <v>8</v>
      </c>
      <c r="E385" s="44">
        <f>300000+100000</f>
        <v>400000</v>
      </c>
    </row>
    <row r="386" spans="1:5" s="17" customFormat="1" ht="12.75">
      <c r="A386" s="29">
        <v>926</v>
      </c>
      <c r="B386" s="30"/>
      <c r="C386" s="30"/>
      <c r="D386" s="31" t="s">
        <v>108</v>
      </c>
      <c r="E386" s="32">
        <f>E387</f>
        <v>50000</v>
      </c>
    </row>
    <row r="387" spans="1:5" s="17" customFormat="1" ht="12.75">
      <c r="A387" s="65"/>
      <c r="B387" s="34">
        <v>92695</v>
      </c>
      <c r="C387" s="34"/>
      <c r="D387" s="247" t="s">
        <v>5</v>
      </c>
      <c r="E387" s="35">
        <f>SUM(E388:E388)</f>
        <v>50000</v>
      </c>
    </row>
    <row r="388" spans="1:5" s="17" customFormat="1" ht="13.5" thickBot="1">
      <c r="A388" s="409"/>
      <c r="B388" s="93"/>
      <c r="C388" s="138">
        <v>4300</v>
      </c>
      <c r="D388" s="400" t="s">
        <v>8</v>
      </c>
      <c r="E388" s="44">
        <v>50000</v>
      </c>
    </row>
    <row r="389" spans="1:5" s="139" customFormat="1" ht="13.5" thickBot="1">
      <c r="A389" s="579" t="s">
        <v>205</v>
      </c>
      <c r="B389" s="580"/>
      <c r="C389" s="580"/>
      <c r="D389" s="581"/>
      <c r="E389" s="87">
        <f>E390+E393+E396</f>
        <v>130897</v>
      </c>
    </row>
    <row r="390" spans="1:5" s="17" customFormat="1" ht="12.75">
      <c r="A390" s="29">
        <v>750</v>
      </c>
      <c r="B390" s="30"/>
      <c r="C390" s="30"/>
      <c r="D390" s="31" t="s">
        <v>22</v>
      </c>
      <c r="E390" s="32">
        <f>E391</f>
        <v>2800</v>
      </c>
    </row>
    <row r="391" spans="1:5" s="17" customFormat="1" ht="13.5" customHeight="1">
      <c r="A391" s="33"/>
      <c r="B391" s="34">
        <v>75023</v>
      </c>
      <c r="C391" s="34"/>
      <c r="D391" s="250" t="s">
        <v>245</v>
      </c>
      <c r="E391" s="35">
        <f>E392</f>
        <v>2800</v>
      </c>
    </row>
    <row r="392" spans="1:5" s="17" customFormat="1" ht="13.5" thickBot="1">
      <c r="A392" s="409"/>
      <c r="B392" s="93"/>
      <c r="C392" s="138">
        <v>4300</v>
      </c>
      <c r="D392" s="400" t="s">
        <v>8</v>
      </c>
      <c r="E392" s="44">
        <v>2800</v>
      </c>
    </row>
    <row r="393" spans="1:5" s="17" customFormat="1" ht="12.75">
      <c r="A393" s="29">
        <v>752</v>
      </c>
      <c r="B393" s="30"/>
      <c r="C393" s="30"/>
      <c r="D393" s="31" t="s">
        <v>43</v>
      </c>
      <c r="E393" s="32">
        <f>E394</f>
        <v>100000</v>
      </c>
    </row>
    <row r="394" spans="1:5" s="17" customFormat="1" ht="12.75">
      <c r="A394" s="410"/>
      <c r="B394" s="251">
        <v>75201</v>
      </c>
      <c r="C394" s="251"/>
      <c r="D394" s="247" t="s">
        <v>44</v>
      </c>
      <c r="E394" s="362">
        <f>E395</f>
        <v>100000</v>
      </c>
    </row>
    <row r="395" spans="1:5" s="17" customFormat="1" ht="13.5" thickBot="1">
      <c r="A395" s="411"/>
      <c r="B395" s="412"/>
      <c r="C395" s="45">
        <v>3110</v>
      </c>
      <c r="D395" s="413" t="s">
        <v>45</v>
      </c>
      <c r="E395" s="54">
        <v>100000</v>
      </c>
    </row>
    <row r="396" spans="1:5" s="120" customFormat="1" ht="12.75">
      <c r="A396" s="131">
        <v>853</v>
      </c>
      <c r="B396" s="132"/>
      <c r="C396" s="132"/>
      <c r="D396" s="133" t="s">
        <v>80</v>
      </c>
      <c r="E396" s="134">
        <f>E397</f>
        <v>28097</v>
      </c>
    </row>
    <row r="397" spans="1:5" s="398" customFormat="1" ht="12.75">
      <c r="A397" s="135"/>
      <c r="B397" s="136">
        <v>85334</v>
      </c>
      <c r="C397" s="136"/>
      <c r="D397" s="247" t="s">
        <v>253</v>
      </c>
      <c r="E397" s="137">
        <f>SUM(E398:E398)</f>
        <v>28097</v>
      </c>
    </row>
    <row r="398" spans="1:5" s="398" customFormat="1" ht="13.5" thickBot="1">
      <c r="A398" s="404"/>
      <c r="B398" s="405"/>
      <c r="C398" s="539">
        <v>4270</v>
      </c>
      <c r="D398" s="90" t="s">
        <v>2</v>
      </c>
      <c r="E398" s="523">
        <v>28097</v>
      </c>
    </row>
    <row r="399" spans="1:5" s="17" customFormat="1" ht="13.5" thickBot="1">
      <c r="A399" s="582" t="s">
        <v>189</v>
      </c>
      <c r="B399" s="583"/>
      <c r="C399" s="583"/>
      <c r="D399" s="584"/>
      <c r="E399" s="371">
        <f>E400</f>
        <v>14218</v>
      </c>
    </row>
    <row r="400" spans="1:5" s="17" customFormat="1" ht="12.75">
      <c r="A400" s="29">
        <v>750</v>
      </c>
      <c r="B400" s="30"/>
      <c r="C400" s="30"/>
      <c r="D400" s="31" t="s">
        <v>22</v>
      </c>
      <c r="E400" s="32">
        <f>E401</f>
        <v>14218</v>
      </c>
    </row>
    <row r="401" spans="1:5" s="17" customFormat="1" ht="12.75">
      <c r="A401" s="65"/>
      <c r="B401" s="34">
        <v>75023</v>
      </c>
      <c r="C401" s="66"/>
      <c r="D401" s="250" t="s">
        <v>245</v>
      </c>
      <c r="E401" s="35">
        <f>SUM(E402:E403)</f>
        <v>14218</v>
      </c>
    </row>
    <row r="402" spans="1:9" s="61" customFormat="1" ht="12.75">
      <c r="A402" s="101"/>
      <c r="B402" s="304"/>
      <c r="C402" s="38">
        <v>3030</v>
      </c>
      <c r="D402" s="96" t="s">
        <v>17</v>
      </c>
      <c r="E402" s="503">
        <v>9298</v>
      </c>
      <c r="G402" s="150"/>
      <c r="I402" s="150"/>
    </row>
    <row r="403" spans="1:9" s="17" customFormat="1" ht="13.5" thickBot="1">
      <c r="A403" s="40"/>
      <c r="B403" s="372"/>
      <c r="C403" s="42">
        <v>4300</v>
      </c>
      <c r="D403" s="53" t="s">
        <v>8</v>
      </c>
      <c r="E403" s="44">
        <v>4920</v>
      </c>
      <c r="H403" s="61"/>
      <c r="I403" s="150"/>
    </row>
    <row r="404" spans="1:9" s="17" customFormat="1" ht="13.5" thickBot="1">
      <c r="A404" s="582" t="s">
        <v>190</v>
      </c>
      <c r="B404" s="583"/>
      <c r="C404" s="583"/>
      <c r="D404" s="584"/>
      <c r="E404" s="371">
        <f>E405+E410</f>
        <v>33293</v>
      </c>
      <c r="I404" s="150"/>
    </row>
    <row r="405" spans="1:9" s="17" customFormat="1" ht="12.75">
      <c r="A405" s="29">
        <v>750</v>
      </c>
      <c r="B405" s="30"/>
      <c r="C405" s="30"/>
      <c r="D405" s="31" t="s">
        <v>22</v>
      </c>
      <c r="E405" s="32">
        <f>E406</f>
        <v>18293</v>
      </c>
      <c r="I405" s="150"/>
    </row>
    <row r="406" spans="1:9" s="17" customFormat="1" ht="12.75">
      <c r="A406" s="65"/>
      <c r="B406" s="34">
        <v>75023</v>
      </c>
      <c r="C406" s="66"/>
      <c r="D406" s="250" t="s">
        <v>245</v>
      </c>
      <c r="E406" s="35">
        <f>SUM(E407:E409)</f>
        <v>18293</v>
      </c>
      <c r="I406" s="150"/>
    </row>
    <row r="407" spans="1:9" s="61" customFormat="1" ht="12.75">
      <c r="A407" s="101"/>
      <c r="B407" s="340"/>
      <c r="C407" s="38">
        <v>3030</v>
      </c>
      <c r="D407" s="96" t="s">
        <v>17</v>
      </c>
      <c r="E407" s="503">
        <v>6293</v>
      </c>
      <c r="I407" s="150"/>
    </row>
    <row r="408" spans="1:9" s="17" customFormat="1" ht="12.75">
      <c r="A408" s="65"/>
      <c r="B408" s="373"/>
      <c r="C408" s="37">
        <v>4210</v>
      </c>
      <c r="D408" s="76" t="s">
        <v>7</v>
      </c>
      <c r="E408" s="39">
        <v>2000</v>
      </c>
      <c r="H408" s="61"/>
      <c r="I408" s="150"/>
    </row>
    <row r="409" spans="1:9" s="17" customFormat="1" ht="13.5" thickBot="1">
      <c r="A409" s="40"/>
      <c r="B409" s="372"/>
      <c r="C409" s="42">
        <v>4300</v>
      </c>
      <c r="D409" s="53" t="s">
        <v>8</v>
      </c>
      <c r="E409" s="44">
        <v>10000</v>
      </c>
      <c r="H409" s="61"/>
      <c r="I409" s="150"/>
    </row>
    <row r="410" spans="1:9" s="17" customFormat="1" ht="12.75">
      <c r="A410" s="29">
        <v>900</v>
      </c>
      <c r="B410" s="30"/>
      <c r="C410" s="30"/>
      <c r="D410" s="31" t="s">
        <v>94</v>
      </c>
      <c r="E410" s="32">
        <f>E411</f>
        <v>15000</v>
      </c>
      <c r="I410" s="150"/>
    </row>
    <row r="411" spans="1:9" s="17" customFormat="1" ht="12.75">
      <c r="A411" s="65"/>
      <c r="B411" s="34">
        <v>90095</v>
      </c>
      <c r="C411" s="66"/>
      <c r="D411" s="250" t="s">
        <v>5</v>
      </c>
      <c r="E411" s="35">
        <f>E413+E412</f>
        <v>15000</v>
      </c>
      <c r="I411" s="150"/>
    </row>
    <row r="412" spans="1:9" s="17" customFormat="1" ht="12.75">
      <c r="A412" s="65"/>
      <c r="B412" s="304"/>
      <c r="C412" s="37">
        <v>4210</v>
      </c>
      <c r="D412" s="76" t="s">
        <v>7</v>
      </c>
      <c r="E412" s="39">
        <f>5000+824</f>
        <v>5824</v>
      </c>
      <c r="H412" s="61"/>
      <c r="I412" s="150"/>
    </row>
    <row r="413" spans="1:9" s="17" customFormat="1" ht="13.5" thickBot="1">
      <c r="A413" s="40"/>
      <c r="B413" s="372"/>
      <c r="C413" s="42">
        <v>4300</v>
      </c>
      <c r="D413" s="53" t="s">
        <v>8</v>
      </c>
      <c r="E413" s="44">
        <f>10000-824</f>
        <v>9176</v>
      </c>
      <c r="H413" s="61"/>
      <c r="I413" s="150"/>
    </row>
    <row r="414" spans="1:9" s="17" customFormat="1" ht="13.5" thickBot="1">
      <c r="A414" s="582" t="s">
        <v>191</v>
      </c>
      <c r="B414" s="583"/>
      <c r="C414" s="583"/>
      <c r="D414" s="584"/>
      <c r="E414" s="371">
        <f>E415+E419+E422</f>
        <v>52500</v>
      </c>
      <c r="I414" s="150"/>
    </row>
    <row r="415" spans="1:9" s="17" customFormat="1" ht="12.75">
      <c r="A415" s="29">
        <v>750</v>
      </c>
      <c r="B415" s="30"/>
      <c r="C415" s="30"/>
      <c r="D415" s="31" t="s">
        <v>22</v>
      </c>
      <c r="E415" s="32">
        <f>E416</f>
        <v>12500</v>
      </c>
      <c r="I415" s="150"/>
    </row>
    <row r="416" spans="1:13" s="61" customFormat="1" ht="12.75">
      <c r="A416" s="65"/>
      <c r="B416" s="34">
        <v>75023</v>
      </c>
      <c r="C416" s="66"/>
      <c r="D416" s="250" t="s">
        <v>245</v>
      </c>
      <c r="E416" s="35">
        <f>SUM(E417:E418)</f>
        <v>12500</v>
      </c>
      <c r="F416" s="102"/>
      <c r="G416" s="102"/>
      <c r="H416" s="102"/>
      <c r="I416" s="150"/>
      <c r="M416" s="103"/>
    </row>
    <row r="417" spans="1:9" s="61" customFormat="1" ht="12.75">
      <c r="A417" s="101"/>
      <c r="B417" s="77"/>
      <c r="C417" s="37">
        <v>4210</v>
      </c>
      <c r="D417" s="76" t="s">
        <v>7</v>
      </c>
      <c r="E417" s="305">
        <v>7500</v>
      </c>
      <c r="I417" s="150"/>
    </row>
    <row r="418" spans="1:9" s="28" customFormat="1" ht="13.5" thickBot="1">
      <c r="A418" s="40"/>
      <c r="B418" s="77"/>
      <c r="C418" s="42">
        <v>4300</v>
      </c>
      <c r="D418" s="53" t="s">
        <v>8</v>
      </c>
      <c r="E418" s="44">
        <v>5000</v>
      </c>
      <c r="F418" s="17"/>
      <c r="H418" s="61"/>
      <c r="I418" s="150"/>
    </row>
    <row r="419" spans="1:9" s="17" customFormat="1" ht="12.75">
      <c r="A419" s="29">
        <v>900</v>
      </c>
      <c r="B419" s="30"/>
      <c r="C419" s="30"/>
      <c r="D419" s="31" t="s">
        <v>94</v>
      </c>
      <c r="E419" s="32">
        <f>E420</f>
        <v>15000</v>
      </c>
      <c r="I419" s="150"/>
    </row>
    <row r="420" spans="1:9" s="17" customFormat="1" ht="12.75">
      <c r="A420" s="65"/>
      <c r="B420" s="34">
        <v>90095</v>
      </c>
      <c r="C420" s="66"/>
      <c r="D420" s="250" t="s">
        <v>5</v>
      </c>
      <c r="E420" s="35">
        <f>E421</f>
        <v>15000</v>
      </c>
      <c r="I420" s="150"/>
    </row>
    <row r="421" spans="1:9" s="17" customFormat="1" ht="13.5" thickBot="1">
      <c r="A421" s="40"/>
      <c r="B421" s="42"/>
      <c r="C421" s="42">
        <v>4300</v>
      </c>
      <c r="D421" s="53" t="s">
        <v>8</v>
      </c>
      <c r="E421" s="44">
        <v>15000</v>
      </c>
      <c r="H421" s="61"/>
      <c r="I421" s="150"/>
    </row>
    <row r="422" spans="1:9" s="17" customFormat="1" ht="12.75">
      <c r="A422" s="29">
        <v>926</v>
      </c>
      <c r="B422" s="30"/>
      <c r="C422" s="30"/>
      <c r="D422" s="31" t="s">
        <v>108</v>
      </c>
      <c r="E422" s="32">
        <f>E423</f>
        <v>25000</v>
      </c>
      <c r="I422" s="150"/>
    </row>
    <row r="423" spans="1:9" s="17" customFormat="1" ht="12.75">
      <c r="A423" s="65" t="s">
        <v>194</v>
      </c>
      <c r="B423" s="34">
        <v>92695</v>
      </c>
      <c r="C423" s="66"/>
      <c r="D423" s="250" t="s">
        <v>5</v>
      </c>
      <c r="E423" s="35">
        <f>E425+E424</f>
        <v>25000</v>
      </c>
      <c r="I423" s="150"/>
    </row>
    <row r="424" spans="1:9" s="17" customFormat="1" ht="12.75">
      <c r="A424" s="65"/>
      <c r="B424" s="77"/>
      <c r="C424" s="37">
        <v>4210</v>
      </c>
      <c r="D424" s="76" t="s">
        <v>7</v>
      </c>
      <c r="E424" s="39">
        <v>2000</v>
      </c>
      <c r="H424" s="61"/>
      <c r="I424" s="150"/>
    </row>
    <row r="425" spans="1:9" s="17" customFormat="1" ht="13.5" thickBot="1">
      <c r="A425" s="40"/>
      <c r="B425" s="93"/>
      <c r="C425" s="42">
        <v>4300</v>
      </c>
      <c r="D425" s="53" t="s">
        <v>8</v>
      </c>
      <c r="E425" s="44">
        <f>18000+5000</f>
        <v>23000</v>
      </c>
      <c r="H425" s="61"/>
      <c r="I425" s="150"/>
    </row>
    <row r="426" spans="1:9" s="17" customFormat="1" ht="13.5" thickBot="1">
      <c r="A426" s="582" t="s">
        <v>192</v>
      </c>
      <c r="B426" s="583"/>
      <c r="C426" s="583"/>
      <c r="D426" s="584"/>
      <c r="E426" s="371">
        <f>E427+E432</f>
        <v>19450</v>
      </c>
      <c r="I426" s="150"/>
    </row>
    <row r="427" spans="1:9" s="17" customFormat="1" ht="12.75">
      <c r="A427" s="29">
        <v>750</v>
      </c>
      <c r="B427" s="30"/>
      <c r="C427" s="30"/>
      <c r="D427" s="31" t="s">
        <v>22</v>
      </c>
      <c r="E427" s="32">
        <f>E428</f>
        <v>4450</v>
      </c>
      <c r="I427" s="150"/>
    </row>
    <row r="428" spans="1:9" s="17" customFormat="1" ht="12.75">
      <c r="A428" s="65"/>
      <c r="B428" s="34">
        <v>75023</v>
      </c>
      <c r="C428" s="66"/>
      <c r="D428" s="250" t="s">
        <v>245</v>
      </c>
      <c r="E428" s="35">
        <f>SUM(E429:E431)</f>
        <v>4450</v>
      </c>
      <c r="I428" s="150"/>
    </row>
    <row r="429" spans="1:9" s="61" customFormat="1" ht="12.75">
      <c r="A429" s="101"/>
      <c r="B429" s="77"/>
      <c r="C429" s="38">
        <v>3030</v>
      </c>
      <c r="D429" s="96" t="s">
        <v>17</v>
      </c>
      <c r="E429" s="503">
        <v>2400</v>
      </c>
      <c r="I429" s="150"/>
    </row>
    <row r="430" spans="1:9" s="17" customFormat="1" ht="12.75">
      <c r="A430" s="65"/>
      <c r="B430" s="77"/>
      <c r="C430" s="37">
        <v>4210</v>
      </c>
      <c r="D430" s="76" t="s">
        <v>7</v>
      </c>
      <c r="E430" s="39">
        <v>500</v>
      </c>
      <c r="H430" s="61"/>
      <c r="I430" s="150"/>
    </row>
    <row r="431" spans="1:9" s="17" customFormat="1" ht="13.5" thickBot="1">
      <c r="A431" s="40"/>
      <c r="B431" s="93"/>
      <c r="C431" s="42">
        <v>4300</v>
      </c>
      <c r="D431" s="53" t="s">
        <v>8</v>
      </c>
      <c r="E431" s="44">
        <v>1550</v>
      </c>
      <c r="H431" s="61"/>
      <c r="I431" s="150"/>
    </row>
    <row r="432" spans="1:9" s="17" customFormat="1" ht="12.75">
      <c r="A432" s="29">
        <v>900</v>
      </c>
      <c r="B432" s="30"/>
      <c r="C432" s="30"/>
      <c r="D432" s="31" t="s">
        <v>94</v>
      </c>
      <c r="E432" s="32">
        <f>E433</f>
        <v>15000</v>
      </c>
      <c r="I432" s="150"/>
    </row>
    <row r="433" spans="1:9" s="17" customFormat="1" ht="12.75">
      <c r="A433" s="65"/>
      <c r="B433" s="34">
        <v>90095</v>
      </c>
      <c r="C433" s="66"/>
      <c r="D433" s="250" t="s">
        <v>5</v>
      </c>
      <c r="E433" s="35">
        <f>E434</f>
        <v>15000</v>
      </c>
      <c r="I433" s="150"/>
    </row>
    <row r="434" spans="1:9" s="17" customFormat="1" ht="13.5" thickBot="1">
      <c r="A434" s="40"/>
      <c r="B434" s="42"/>
      <c r="C434" s="42">
        <v>4300</v>
      </c>
      <c r="D434" s="53" t="s">
        <v>8</v>
      </c>
      <c r="E434" s="44">
        <v>15000</v>
      </c>
      <c r="H434" s="61"/>
      <c r="I434" s="150"/>
    </row>
    <row r="435" spans="1:9" s="17" customFormat="1" ht="13.5" thickBot="1">
      <c r="A435" s="582" t="s">
        <v>193</v>
      </c>
      <c r="B435" s="583"/>
      <c r="C435" s="583"/>
      <c r="D435" s="584"/>
      <c r="E435" s="371">
        <f>E436</f>
        <v>15877</v>
      </c>
      <c r="I435" s="150"/>
    </row>
    <row r="436" spans="1:9" s="17" customFormat="1" ht="12.75">
      <c r="A436" s="29">
        <v>750</v>
      </c>
      <c r="B436" s="30"/>
      <c r="C436" s="30"/>
      <c r="D436" s="31" t="s">
        <v>22</v>
      </c>
      <c r="E436" s="32">
        <f>E437</f>
        <v>15877</v>
      </c>
      <c r="I436" s="150"/>
    </row>
    <row r="437" spans="1:9" s="17" customFormat="1" ht="12.75">
      <c r="A437" s="65"/>
      <c r="B437" s="34">
        <v>75023</v>
      </c>
      <c r="C437" s="66"/>
      <c r="D437" s="247" t="s">
        <v>245</v>
      </c>
      <c r="E437" s="35">
        <f>SUM(E438:E439)</f>
        <v>15877</v>
      </c>
      <c r="I437" s="150"/>
    </row>
    <row r="438" spans="1:9" s="61" customFormat="1" ht="12.75">
      <c r="A438" s="375"/>
      <c r="B438" s="77"/>
      <c r="C438" s="38">
        <v>3030</v>
      </c>
      <c r="D438" s="96" t="s">
        <v>17</v>
      </c>
      <c r="E438" s="503">
        <v>8427</v>
      </c>
      <c r="I438" s="150"/>
    </row>
    <row r="439" spans="1:9" s="104" customFormat="1" ht="13.5" thickBot="1">
      <c r="A439" s="112"/>
      <c r="B439" s="376"/>
      <c r="C439" s="42">
        <v>4300</v>
      </c>
      <c r="D439" s="53" t="s">
        <v>8</v>
      </c>
      <c r="E439" s="44">
        <v>7450</v>
      </c>
      <c r="H439" s="61"/>
      <c r="I439" s="150"/>
    </row>
  </sheetData>
  <mergeCells count="35">
    <mergeCell ref="A345:D345"/>
    <mergeCell ref="A350:D350"/>
    <mergeCell ref="A357:D357"/>
    <mergeCell ref="A367:D367"/>
    <mergeCell ref="A426:D426"/>
    <mergeCell ref="A435:D435"/>
    <mergeCell ref="A169:D169"/>
    <mergeCell ref="A189:D189"/>
    <mergeCell ref="A220:D220"/>
    <mergeCell ref="A243:D243"/>
    <mergeCell ref="A264:D264"/>
    <mergeCell ref="A278:D278"/>
    <mergeCell ref="A290:D290"/>
    <mergeCell ref="A295:D295"/>
    <mergeCell ref="A168:D168"/>
    <mergeCell ref="A399:D399"/>
    <mergeCell ref="A404:D404"/>
    <mergeCell ref="A414:D414"/>
    <mergeCell ref="A303:D303"/>
    <mergeCell ref="A309:D309"/>
    <mergeCell ref="A320:D320"/>
    <mergeCell ref="A332:D332"/>
    <mergeCell ref="A337:D337"/>
    <mergeCell ref="A389:D389"/>
    <mergeCell ref="A126:D126"/>
    <mergeCell ref="A23:D23"/>
    <mergeCell ref="A155:D155"/>
    <mergeCell ref="A162:D162"/>
    <mergeCell ref="A69:D69"/>
    <mergeCell ref="A77:D77"/>
    <mergeCell ref="A120:D120"/>
    <mergeCell ref="A5:D5"/>
    <mergeCell ref="A27:D27"/>
    <mergeCell ref="A42:D42"/>
    <mergeCell ref="A64:D64"/>
  </mergeCells>
  <printOptions/>
  <pageMargins left="0.75" right="0.75" top="0.47" bottom="0.5" header="0.5" footer="0.5"/>
  <pageSetup horizontalDpi="300" verticalDpi="300" orientation="portrait" paperSize="9" scale="96" r:id="rId1"/>
  <rowBreaks count="8" manualBreakCount="8">
    <brk id="59" max="4" man="1"/>
    <brk id="108" max="4" man="1"/>
    <brk id="154" max="4" man="1"/>
    <brk id="210" max="4" man="1"/>
    <brk id="263" max="4" man="1"/>
    <brk id="316" max="4" man="1"/>
    <brk id="378" max="4" man="1"/>
    <brk id="43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60" workbookViewId="0" topLeftCell="A1">
      <selection activeCell="E2" sqref="E2"/>
    </sheetView>
  </sheetViews>
  <sheetFormatPr defaultColWidth="9.140625" defaultRowHeight="12.75"/>
  <cols>
    <col min="1" max="1" width="5.421875" style="258" customWidth="1"/>
    <col min="2" max="2" width="6.140625" style="258" customWidth="1"/>
    <col min="3" max="3" width="5.140625" style="258" customWidth="1"/>
    <col min="4" max="4" width="52.00390625" style="258" customWidth="1"/>
    <col min="5" max="5" width="15.140625" style="17" customWidth="1"/>
    <col min="6" max="6" width="9.140625" style="258" customWidth="1"/>
    <col min="7" max="7" width="9.7109375" style="258" customWidth="1"/>
    <col min="8" max="16384" width="9.140625" style="258" customWidth="1"/>
  </cols>
  <sheetData>
    <row r="1" spans="1:5" ht="13.5" thickBot="1">
      <c r="A1" s="166"/>
      <c r="B1" s="166"/>
      <c r="C1" s="166"/>
      <c r="D1" s="166"/>
      <c r="E1" s="166"/>
    </row>
    <row r="2" spans="1:5" ht="15" thickBot="1">
      <c r="A2" s="327"/>
      <c r="C2" s="328"/>
      <c r="E2" s="21">
        <f>E5+E21+E30+E36+E43</f>
        <v>3911560</v>
      </c>
    </row>
    <row r="3" spans="1:3" ht="13.5" thickBot="1">
      <c r="A3" s="17"/>
      <c r="C3" s="328"/>
    </row>
    <row r="4" spans="1:5" s="61" customFormat="1" ht="23.25" thickBot="1">
      <c r="A4" s="23" t="s">
        <v>115</v>
      </c>
      <c r="B4" s="24" t="s">
        <v>116</v>
      </c>
      <c r="C4" s="24" t="s">
        <v>117</v>
      </c>
      <c r="D4" s="25" t="s">
        <v>118</v>
      </c>
      <c r="E4" s="26" t="s">
        <v>183</v>
      </c>
    </row>
    <row r="5" spans="1:5" s="88" customFormat="1" ht="15" thickBot="1">
      <c r="A5" s="579" t="s">
        <v>180</v>
      </c>
      <c r="B5" s="580"/>
      <c r="C5" s="580"/>
      <c r="D5" s="581"/>
      <c r="E5" s="87">
        <f>E6+E14</f>
        <v>2646545</v>
      </c>
    </row>
    <row r="6" spans="1:5" s="17" customFormat="1" ht="12.75">
      <c r="A6" s="78">
        <v>750</v>
      </c>
      <c r="B6" s="79"/>
      <c r="C6" s="79"/>
      <c r="D6" s="89" t="s">
        <v>22</v>
      </c>
      <c r="E6" s="80">
        <f>E7</f>
        <v>2329600</v>
      </c>
    </row>
    <row r="7" spans="1:5" s="17" customFormat="1" ht="12.75">
      <c r="A7" s="118"/>
      <c r="B7" s="91">
        <v>75011</v>
      </c>
      <c r="C7" s="91"/>
      <c r="D7" s="247" t="s">
        <v>23</v>
      </c>
      <c r="E7" s="92">
        <f>SUM(E8:E13)</f>
        <v>2329600</v>
      </c>
    </row>
    <row r="8" spans="1:5" s="17" customFormat="1" ht="12.75">
      <c r="A8" s="33"/>
      <c r="B8" s="77"/>
      <c r="C8" s="37">
        <v>4010</v>
      </c>
      <c r="D8" s="90" t="s">
        <v>24</v>
      </c>
      <c r="E8" s="505">
        <v>1747286.55</v>
      </c>
    </row>
    <row r="9" spans="1:5" s="17" customFormat="1" ht="12.75">
      <c r="A9" s="33"/>
      <c r="B9" s="77"/>
      <c r="C9" s="37">
        <v>4050</v>
      </c>
      <c r="D9" s="90" t="s">
        <v>214</v>
      </c>
      <c r="E9" s="505">
        <v>32943.45</v>
      </c>
    </row>
    <row r="10" spans="1:5" s="17" customFormat="1" ht="12.75">
      <c r="A10" s="33"/>
      <c r="B10" s="77"/>
      <c r="C10" s="37">
        <v>4110</v>
      </c>
      <c r="D10" s="90" t="s">
        <v>25</v>
      </c>
      <c r="E10" s="505">
        <v>312416</v>
      </c>
    </row>
    <row r="11" spans="1:5" s="17" customFormat="1" ht="12.75">
      <c r="A11" s="33"/>
      <c r="B11" s="77"/>
      <c r="C11" s="37">
        <v>4120</v>
      </c>
      <c r="D11" s="90" t="s">
        <v>26</v>
      </c>
      <c r="E11" s="505">
        <v>42809</v>
      </c>
    </row>
    <row r="12" spans="1:5" s="17" customFormat="1" ht="12.75">
      <c r="A12" s="33"/>
      <c r="B12" s="77"/>
      <c r="C12" s="37">
        <v>4300</v>
      </c>
      <c r="D12" s="90" t="s">
        <v>8</v>
      </c>
      <c r="E12" s="505">
        <v>115292</v>
      </c>
    </row>
    <row r="13" spans="1:5" s="17" customFormat="1" ht="13.5" thickBot="1">
      <c r="A13" s="40"/>
      <c r="B13" s="93"/>
      <c r="C13" s="42">
        <v>4440</v>
      </c>
      <c r="D13" s="336" t="s">
        <v>29</v>
      </c>
      <c r="E13" s="506">
        <v>78853</v>
      </c>
    </row>
    <row r="14" spans="1:5" s="73" customFormat="1" ht="25.5">
      <c r="A14" s="360">
        <v>751</v>
      </c>
      <c r="B14" s="418"/>
      <c r="C14" s="418"/>
      <c r="D14" s="31" t="s">
        <v>41</v>
      </c>
      <c r="E14" s="548">
        <f>E15</f>
        <v>316945</v>
      </c>
    </row>
    <row r="15" spans="1:5" s="17" customFormat="1" ht="25.5">
      <c r="A15" s="65"/>
      <c r="B15" s="117">
        <v>75109</v>
      </c>
      <c r="C15" s="34"/>
      <c r="D15" s="247" t="s">
        <v>404</v>
      </c>
      <c r="E15" s="35">
        <f>SUM(E16:E20)</f>
        <v>316945</v>
      </c>
    </row>
    <row r="16" spans="1:9" s="61" customFormat="1" ht="12.75" customHeight="1">
      <c r="A16" s="65"/>
      <c r="B16" s="77"/>
      <c r="C16" s="37" t="s">
        <v>400</v>
      </c>
      <c r="D16" s="90" t="s">
        <v>25</v>
      </c>
      <c r="E16" s="39">
        <v>15500</v>
      </c>
      <c r="I16" s="150"/>
    </row>
    <row r="17" spans="1:9" s="61" customFormat="1" ht="12.75" customHeight="1">
      <c r="A17" s="65"/>
      <c r="B17" s="77"/>
      <c r="C17" s="37" t="s">
        <v>401</v>
      </c>
      <c r="D17" s="90" t="s">
        <v>26</v>
      </c>
      <c r="E17" s="39">
        <v>2130</v>
      </c>
      <c r="I17" s="150"/>
    </row>
    <row r="18" spans="1:9" s="61" customFormat="1" ht="12.75" customHeight="1">
      <c r="A18" s="65"/>
      <c r="B18" s="77"/>
      <c r="C18" s="37" t="s">
        <v>399</v>
      </c>
      <c r="D18" s="90" t="s">
        <v>7</v>
      </c>
      <c r="E18" s="39">
        <v>20955</v>
      </c>
      <c r="I18" s="150"/>
    </row>
    <row r="19" spans="1:9" s="61" customFormat="1" ht="12.75" customHeight="1">
      <c r="A19" s="65"/>
      <c r="B19" s="77"/>
      <c r="C19" s="37" t="s">
        <v>307</v>
      </c>
      <c r="D19" s="90" t="s">
        <v>8</v>
      </c>
      <c r="E19" s="39">
        <v>269385</v>
      </c>
      <c r="I19" s="150"/>
    </row>
    <row r="20" spans="1:9" s="61" customFormat="1" ht="12.75" customHeight="1" thickBot="1">
      <c r="A20" s="65"/>
      <c r="B20" s="77"/>
      <c r="C20" s="37" t="s">
        <v>402</v>
      </c>
      <c r="D20" s="90" t="s">
        <v>28</v>
      </c>
      <c r="E20" s="39">
        <v>8975</v>
      </c>
      <c r="I20" s="150"/>
    </row>
    <row r="21" spans="1:5" s="17" customFormat="1" ht="13.5" thickBot="1">
      <c r="A21" s="582" t="s">
        <v>189</v>
      </c>
      <c r="B21" s="583"/>
      <c r="C21" s="583"/>
      <c r="D21" s="584"/>
      <c r="E21" s="371">
        <f>E22</f>
        <v>1165907</v>
      </c>
    </row>
    <row r="22" spans="1:5" s="17" customFormat="1" ht="12.75">
      <c r="A22" s="29">
        <v>750</v>
      </c>
      <c r="B22" s="30"/>
      <c r="C22" s="30"/>
      <c r="D22" s="31" t="s">
        <v>22</v>
      </c>
      <c r="E22" s="32">
        <f>E23</f>
        <v>1165907</v>
      </c>
    </row>
    <row r="23" spans="1:5" s="17" customFormat="1" ht="12.75">
      <c r="A23" s="65"/>
      <c r="B23" s="117">
        <v>75056</v>
      </c>
      <c r="C23" s="34"/>
      <c r="D23" s="247" t="s">
        <v>224</v>
      </c>
      <c r="E23" s="35">
        <f>SUM(E24:E29)</f>
        <v>1165907</v>
      </c>
    </row>
    <row r="24" spans="1:9" s="17" customFormat="1" ht="12.75">
      <c r="A24" s="65"/>
      <c r="B24" s="77"/>
      <c r="C24" s="37">
        <v>3030</v>
      </c>
      <c r="D24" s="90" t="s">
        <v>152</v>
      </c>
      <c r="E24" s="39">
        <v>453380</v>
      </c>
      <c r="H24" s="61"/>
      <c r="I24" s="150"/>
    </row>
    <row r="25" spans="1:9" s="61" customFormat="1" ht="12.75">
      <c r="A25" s="101"/>
      <c r="B25" s="77"/>
      <c r="C25" s="37">
        <v>4110</v>
      </c>
      <c r="D25" s="90" t="s">
        <v>25</v>
      </c>
      <c r="E25" s="165">
        <f>88955-55240</f>
        <v>33715</v>
      </c>
      <c r="I25" s="150"/>
    </row>
    <row r="26" spans="1:9" s="17" customFormat="1" ht="12.75">
      <c r="A26" s="65"/>
      <c r="B26" s="77"/>
      <c r="C26" s="37">
        <v>4120</v>
      </c>
      <c r="D26" s="90" t="s">
        <v>26</v>
      </c>
      <c r="E26" s="39">
        <f>13545-8710</f>
        <v>4835</v>
      </c>
      <c r="H26" s="61"/>
      <c r="I26" s="150"/>
    </row>
    <row r="27" spans="1:9" s="17" customFormat="1" ht="12.75">
      <c r="A27" s="65"/>
      <c r="B27" s="77"/>
      <c r="C27" s="37">
        <v>4210</v>
      </c>
      <c r="D27" s="90" t="s">
        <v>7</v>
      </c>
      <c r="E27" s="99">
        <f>28000-23457</f>
        <v>4543</v>
      </c>
      <c r="H27" s="61"/>
      <c r="I27" s="150"/>
    </row>
    <row r="28" spans="1:9" s="17" customFormat="1" ht="12.75">
      <c r="A28" s="65"/>
      <c r="B28" s="77"/>
      <c r="C28" s="38">
        <v>4300</v>
      </c>
      <c r="D28" s="96" t="s">
        <v>8</v>
      </c>
      <c r="E28" s="99">
        <f>1000007-364517</f>
        <v>635490</v>
      </c>
      <c r="H28" s="61"/>
      <c r="I28" s="150"/>
    </row>
    <row r="29" spans="1:9" s="17" customFormat="1" ht="13.5" thickBot="1">
      <c r="A29" s="40"/>
      <c r="B29" s="41"/>
      <c r="C29" s="42">
        <v>4410</v>
      </c>
      <c r="D29" s="336" t="s">
        <v>28</v>
      </c>
      <c r="E29" s="44">
        <f>35400-1456</f>
        <v>33944</v>
      </c>
      <c r="H29" s="61"/>
      <c r="I29" s="150"/>
    </row>
    <row r="30" spans="1:5" s="28" customFormat="1" ht="13.5" thickBot="1">
      <c r="A30" s="582" t="s">
        <v>129</v>
      </c>
      <c r="B30" s="583"/>
      <c r="C30" s="583"/>
      <c r="D30" s="584"/>
      <c r="E30" s="27">
        <f>E32</f>
        <v>9300</v>
      </c>
    </row>
    <row r="31" spans="1:5" s="17" customFormat="1" ht="12.75">
      <c r="A31" s="29">
        <v>754</v>
      </c>
      <c r="B31" s="30"/>
      <c r="C31" s="30"/>
      <c r="D31" s="31" t="s">
        <v>46</v>
      </c>
      <c r="E31" s="80">
        <f>E32</f>
        <v>9300</v>
      </c>
    </row>
    <row r="32" spans="1:5" s="17" customFormat="1" ht="12.75">
      <c r="A32" s="118"/>
      <c r="B32" s="34">
        <v>75414</v>
      </c>
      <c r="C32" s="34"/>
      <c r="D32" s="392" t="s">
        <v>48</v>
      </c>
      <c r="E32" s="92">
        <f>SUM(E33:E35)</f>
        <v>9300</v>
      </c>
    </row>
    <row r="33" spans="1:5" s="339" customFormat="1" ht="13.5" customHeight="1">
      <c r="A33" s="113"/>
      <c r="B33" s="395"/>
      <c r="C33" s="37">
        <v>4210</v>
      </c>
      <c r="D33" s="390" t="s">
        <v>7</v>
      </c>
      <c r="E33" s="478">
        <f>4440+100</f>
        <v>4540</v>
      </c>
    </row>
    <row r="34" spans="1:5" s="339" customFormat="1" ht="13.5" customHeight="1">
      <c r="A34" s="113"/>
      <c r="B34" s="395"/>
      <c r="C34" s="37">
        <v>4300</v>
      </c>
      <c r="D34" s="390" t="s">
        <v>8</v>
      </c>
      <c r="E34" s="478">
        <v>4550</v>
      </c>
    </row>
    <row r="35" spans="1:5" s="339" customFormat="1" ht="13.5" thickBot="1">
      <c r="A35" s="396"/>
      <c r="B35" s="397"/>
      <c r="C35" s="42">
        <v>4430</v>
      </c>
      <c r="D35" s="336" t="s">
        <v>9</v>
      </c>
      <c r="E35" s="507">
        <v>210</v>
      </c>
    </row>
    <row r="36" spans="1:5" s="139" customFormat="1" ht="13.5" thickBot="1">
      <c r="A36" s="579" t="s">
        <v>205</v>
      </c>
      <c r="B36" s="580"/>
      <c r="C36" s="580"/>
      <c r="D36" s="581"/>
      <c r="E36" s="87">
        <f>E37</f>
        <v>83808</v>
      </c>
    </row>
    <row r="37" spans="1:5" s="73" customFormat="1" ht="25.5">
      <c r="A37" s="360">
        <v>751</v>
      </c>
      <c r="B37" s="418"/>
      <c r="C37" s="418"/>
      <c r="D37" s="31" t="s">
        <v>41</v>
      </c>
      <c r="E37" s="513">
        <f>E38</f>
        <v>83808</v>
      </c>
    </row>
    <row r="38" spans="1:5" s="73" customFormat="1" ht="25.5">
      <c r="A38" s="254"/>
      <c r="B38" s="251">
        <v>75101</v>
      </c>
      <c r="C38" s="251"/>
      <c r="D38" s="255" t="s">
        <v>42</v>
      </c>
      <c r="E38" s="256">
        <f>SUM(E39:E42)</f>
        <v>83808</v>
      </c>
    </row>
    <row r="39" spans="1:5" s="17" customFormat="1" ht="12.75">
      <c r="A39" s="118"/>
      <c r="B39" s="257"/>
      <c r="C39" s="389">
        <v>4010</v>
      </c>
      <c r="D39" s="390" t="s">
        <v>24</v>
      </c>
      <c r="E39" s="514">
        <v>66324</v>
      </c>
    </row>
    <row r="40" spans="1:5" s="17" customFormat="1" ht="12.75">
      <c r="A40" s="118"/>
      <c r="B40" s="94"/>
      <c r="C40" s="389">
        <v>4110</v>
      </c>
      <c r="D40" s="390" t="s">
        <v>25</v>
      </c>
      <c r="E40" s="514">
        <v>11859</v>
      </c>
    </row>
    <row r="41" spans="1:5" s="17" customFormat="1" ht="12.75">
      <c r="A41" s="118"/>
      <c r="B41" s="94"/>
      <c r="C41" s="391">
        <v>4120</v>
      </c>
      <c r="D41" s="390" t="s">
        <v>26</v>
      </c>
      <c r="E41" s="514">
        <v>1625</v>
      </c>
    </row>
    <row r="42" spans="1:5" s="17" customFormat="1" ht="13.5" thickBot="1">
      <c r="A42" s="419"/>
      <c r="B42" s="368"/>
      <c r="C42" s="420">
        <v>4300</v>
      </c>
      <c r="D42" s="421" t="s">
        <v>8</v>
      </c>
      <c r="E42" s="515">
        <v>4000</v>
      </c>
    </row>
    <row r="43" spans="1:5" s="28" customFormat="1" ht="13.5" thickBot="1">
      <c r="A43" s="582" t="s">
        <v>132</v>
      </c>
      <c r="B43" s="583"/>
      <c r="C43" s="583"/>
      <c r="D43" s="584"/>
      <c r="E43" s="27">
        <f>E44</f>
        <v>6000</v>
      </c>
    </row>
    <row r="44" spans="1:5" s="17" customFormat="1" ht="12.75">
      <c r="A44" s="29">
        <v>921</v>
      </c>
      <c r="B44" s="30"/>
      <c r="C44" s="30"/>
      <c r="D44" s="31" t="s">
        <v>99</v>
      </c>
      <c r="E44" s="32">
        <f>E45</f>
        <v>6000</v>
      </c>
    </row>
    <row r="45" spans="1:5" s="17" customFormat="1" ht="12.75">
      <c r="A45" s="65"/>
      <c r="B45" s="34">
        <v>92116</v>
      </c>
      <c r="C45" s="107"/>
      <c r="D45" s="259" t="s">
        <v>102</v>
      </c>
      <c r="E45" s="35">
        <f>E46</f>
        <v>6000</v>
      </c>
    </row>
    <row r="46" spans="1:5" ht="13.5" thickBot="1">
      <c r="A46" s="112"/>
      <c r="B46" s="93"/>
      <c r="C46" s="114">
        <v>2550</v>
      </c>
      <c r="D46" s="253" t="s">
        <v>104</v>
      </c>
      <c r="E46" s="504">
        <v>6000</v>
      </c>
    </row>
  </sheetData>
  <mergeCells count="5">
    <mergeCell ref="A43:D43"/>
    <mergeCell ref="A30:D30"/>
    <mergeCell ref="A36:D36"/>
    <mergeCell ref="A5:D5"/>
    <mergeCell ref="A21:D2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2002-11-28T10:26:54Z</cp:lastPrinted>
  <dcterms:created xsi:type="dcterms:W3CDTF">2001-09-18T07:48:27Z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