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91" windowWidth="19140" windowHeight="5970" activeTab="0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  <externalReference r:id="rId8"/>
  </externalReferences>
  <definedNames>
    <definedName name="ih0">'[1]WYDATKI -r'!#REF!</definedName>
    <definedName name="in0">'[1]WYDATKI -r'!#REF!</definedName>
    <definedName name="inf1">'[1]WYDATKI -r'!#REF!</definedName>
    <definedName name="inflacja01">'[1]WYDATKI -r'!#REF!</definedName>
    <definedName name="_xlnm.Print_Area" localSheetId="0">'1'!$C$1:$S$490</definedName>
    <definedName name="_xlnm.Print_Area" localSheetId="1">'2'!$C$1:$T$233</definedName>
    <definedName name="_xlnm.Print_Area" localSheetId="2">'3'!$C$1:$T$49</definedName>
    <definedName name="_xlnm.Print_Area" localSheetId="3">'4'!$A$2:$Q$43</definedName>
    <definedName name="_xlnm.Print_Titles" localSheetId="0">'1'!$8:$9</definedName>
    <definedName name="_xlnm.Print_Titles" localSheetId="1">'2'!$3:$4</definedName>
    <definedName name="_xlnm.Print_Titles" localSheetId="2">'3'!$3:$4</definedName>
    <definedName name="z2">'[1]WYDATKI -r'!#REF!</definedName>
  </definedNames>
  <calcPr fullCalcOnLoad="1"/>
</workbook>
</file>

<file path=xl/sharedStrings.xml><?xml version="1.0" encoding="utf-8"?>
<sst xmlns="http://schemas.openxmlformats.org/spreadsheetml/2006/main" count="1551" uniqueCount="593">
  <si>
    <t xml:space="preserve">Przebudowa i renowacja zabytkowego obiektu Muzeum Literackiego im. H. Sienkiewicza w Poznaniu </t>
  </si>
  <si>
    <t>Rozbudowa Biblioteki Raczyńskich</t>
  </si>
  <si>
    <t>Przebudowa kompleksu Sali Wielkiej CK Zamek celem efektywnego wykorzystania dziedzictwa kulturowego</t>
  </si>
  <si>
    <t>Rezerwat archeologiczny na Ostrowie Tumskim</t>
  </si>
  <si>
    <t>Rozbudowa i modernizacja systemów bezpieczeństwa zainstalowanych w budynku 
w Poznaniu ul. Gronowa 20, stanowiącym siedzibę ZGiKM GEOPOZ</t>
  </si>
  <si>
    <t>Poprawa jakości życia oraz atrakcyjności przestrzeni i architektury miasta</t>
  </si>
  <si>
    <t>Przebudowa wiaduktu Antoninek w ciągu ul. Warszawskiej w Poznaniu (DK 92)</t>
  </si>
  <si>
    <t xml:space="preserve">Poprawa stanu technicznego wiaduktu oraz bezpieczeństwa ruchu              </t>
  </si>
  <si>
    <t>Ulica Polska - Bułgarska - etap II - ul. Bułgarska od ul. Marcelińskiej do ul. Grunwaldzkiej</t>
  </si>
  <si>
    <t xml:space="preserve">Usprawnienie połączenia komunikacyjnego dzielnic Jeżyce i Grunwald, poprawa warunków ruchu, połączenie Portu Lotniczego Poznań -Ławica ze Stadionem Miejskim </t>
  </si>
  <si>
    <t xml:space="preserve">Rozbudowa ulic: Węgorka - Ptasia - Rumuńska - Wałbrzyska - Marcelińska   </t>
  </si>
  <si>
    <t xml:space="preserve">Usprawnienie połączenia komunikacyjnego dzielnic Jeżyce i Grunwald, poprawa warunków ruchu, połączenie Portu Lotniczego Poznań -Ławica ze Stadionem Miejskim (połączenie alternatywne), uporządkowanie ruchu w rejonie Stadionu Miejskiego </t>
  </si>
  <si>
    <t>Modernizacja ulicy z uwagi na lokalizację nowych osiedli mieszkaniowych w rejonie ul. Folwarcznej, poprawa bezpieczeństwa, usprawnienie przejazdu</t>
  </si>
  <si>
    <t xml:space="preserve">Budowa Węzła Drogowego DĘBIEC  </t>
  </si>
  <si>
    <t>Usprawnienie funkcjonowania dębieckiego węzła komunikacyjnego, poprawa płynności i bezpieczeństwa ruchu</t>
  </si>
  <si>
    <t>2009-2016</t>
  </si>
  <si>
    <t xml:space="preserve">Termy Maltańskie - przebudowa dróg i ulicy Krańcowej </t>
  </si>
  <si>
    <t>Przebudowa istniejącego układu drogowego-ulicznego dla zapewnienia optymalnej obsługi komunikacyjnej Term Maltańskich</t>
  </si>
  <si>
    <t xml:space="preserve">Budowa fragmentu III ramy komunikacyjnej  w Poznaniu od ul. Hetmańskiej do ul. Krzywoustego oraz budowa przedłużenia ul. Hetmańskiej od ronda Żegrze do III ramy komunikacyjnej </t>
  </si>
  <si>
    <t>Połączenie II i III ramy - planowanej obwodnicy m. Poznania; odciążenie układu komunikacyjnego ul. Zamenhofa, połączenie trasy Hetmańskiej z drogą wylotową z Poznania, udostępnienie komunikacyjne obszaru Specjalnej Strefy Ekonomicznej</t>
  </si>
  <si>
    <t>Zwiększenie atrakcyjności gospodarczej Poznania poprzez uzbrojenie terenów inwestycyjnych w obszarze Poznańskiego Centrum Logistycznego Franowo-Żegrze</t>
  </si>
  <si>
    <t>Wyposażenie w infrastrukturę techniczną obszaru Specjalnej Strefy Ekonomicznej</t>
  </si>
  <si>
    <t>2009-2018</t>
  </si>
  <si>
    <t>Spalarnia odpadów - drogi dojazdowe + skrzyżowania: Bałtycka-Janikowska + Gdyńska-przejazd kolejowy</t>
  </si>
  <si>
    <t xml:space="preserve">Budowa dróg dojazdowych w celu połaczenia planowanej Spalarni Odpadów z istniejącym układem drogowym. Budowa nowych dróg zapewni efektywne połączenie  gminy Czerwonak z Miastem Poznań (skrócenie czasu dojazdu). </t>
  </si>
  <si>
    <t xml:space="preserve">Modernizacja ul. Obornickiej (etap I od ronda Obornickiego do ul. Kurpińskiego i etap II od ul. Kurpińskiego do wiaduktu) </t>
  </si>
  <si>
    <t>Usprawnienie ruchu tranzytowego na drodze krajowej nr 11, poprawa bezpieczeństwa ruchu.</t>
  </si>
  <si>
    <t xml:space="preserve">Wiadukt Starołęka - prace przygotowawcze </t>
  </si>
  <si>
    <t>Zrównoważony system transportowy w mieście i aglomeracji poznańskiej</t>
  </si>
  <si>
    <t>Budowa ul. Nowa Naramowicka na odc. od węzła Naramowicka do torów PKP</t>
  </si>
  <si>
    <t>2008-2015</t>
  </si>
  <si>
    <t xml:space="preserve">Budowa nowego i przebudowa istniejącego układu drogowego wraz z niezbędną infrastrukturą dla "Centrum Łacina" </t>
  </si>
  <si>
    <t xml:space="preserve"> Budowa i przebudowa ulic publicznych na terenie Centrum Łacina (w tym ulic: Krzywoustego, Jana Pawła II oraz Ronda Rataje) niezbędna do uruchomienia nowych terenów inwestycyjnych pod aktywizację gospodarczą oraz budownictwo mieszkaniowe </t>
  </si>
  <si>
    <t>2013-2015</t>
  </si>
  <si>
    <t xml:space="preserve">Ul. Arcybiskupa W. Dymka </t>
  </si>
  <si>
    <t xml:space="preserve">Spełnienie wymogów niezbędnych do funkcjonowania basenów odkrytych </t>
  </si>
  <si>
    <t xml:space="preserve">Spełnienie wymogów wynikających z nowych standardów ustalonych przez FIBA Europe </t>
  </si>
  <si>
    <t>Modernizacja Stadionu Miejskiego, zwiększenie pojemności obiektu do ok. 46 tys. miejsc, przygotowanie obiektu do organizacji EURO 2012</t>
  </si>
  <si>
    <t>Przygotowanie Toru Regatowego Malta do organizacji imprez rangi międzynarodowej</t>
  </si>
  <si>
    <t>Budowa obiektu umożliwiającego przeprowadzenie imprez pływackich rangi światowej oraz dającego mieszkańcom możliwość atrakcyjnego spędzania czasu wolnego</t>
  </si>
  <si>
    <t>Rewitalizacja kompleksu zabytkowych budynków Jednostki Ratowniczo - Gaśniczej nr 2 przy ul. Grunwaldzkiej 16A. 
Utworzenie w obiekcie stanowiska koordynacji działań ratowniczych PSP podczas trwania EURO 2012</t>
  </si>
  <si>
    <t>Poprawa stanu technicznego obiektu</t>
  </si>
  <si>
    <t>Zakup aparatury i urządzeń medycznych stanowiących pierwsze wyposażenie czynnych oddziałów w szpitalu przy ul. Szwajcarskiej</t>
  </si>
  <si>
    <t>Wyposażenie w infrastrukturę obszaru aktywizacji gospodarczej "Łacina"</t>
  </si>
  <si>
    <t>Odwodnienie terenów osiedla Szczepankowo</t>
  </si>
  <si>
    <t>Zapobieganie zalewaniu nieruchomości na terenie zlewni cieku</t>
  </si>
  <si>
    <t>Zabezpieczenie przeciwpowodziowe części dzielnicy Wilda. Utrzymanie urządzeń melioracji szczegółowych</t>
  </si>
  <si>
    <t>Poprawa jakości życia i bezpieczeństwa mieszkańców</t>
  </si>
  <si>
    <t>Poprawa estetyki przestrzeni publicznych</t>
  </si>
  <si>
    <t>Zatrzymanie dekapitalizacji obiektu</t>
  </si>
  <si>
    <t>Przekształcenie obiektu zamkniętego w ogólnodostępny park miejski, poprawienie estetyki i stanu zieleni</t>
  </si>
  <si>
    <t>Uszczelnienie czaszy stawów oraz wykonanie instalacji zamkniętego obiegu wody.</t>
  </si>
  <si>
    <t>Rozbudowa Biblioteki Raczyńskich na zapleczu zabytkowego budynku przy pl. Wolności 19, rozwój oraz poprawa stanu infrastruktury kultury i efektywne wykorzystanie dziedzictwa kulturowego.</t>
  </si>
  <si>
    <t>Zwiększenie funkcjonalności istniejących pomieszczeń i adaptacja nowych pomieszczeń</t>
  </si>
  <si>
    <t>Kompleksowa modernizacja Muzeum Literackiego H. Sienkiewicza - nadanie wnętrzu obiektu nowych cech użytkowych (poszerzenie programu dzialalności Muzeum oraz unowocześnienie eksopozycji)</t>
  </si>
  <si>
    <t>Zarząd Dróg Miejskich
GKM/ZDM/402</t>
  </si>
  <si>
    <t>Zarząd Dróg Miejskich
GKM/ZDM/2002</t>
  </si>
  <si>
    <t>Zarząd Dróg Miejskich
GKM/ZDM/2012</t>
  </si>
  <si>
    <t>Zarząd Dróg Miejskich
GKM/ZDM/54</t>
  </si>
  <si>
    <t>Zarząd Dróg Miejskich
GKM/ZDM/417</t>
  </si>
  <si>
    <t>Zarząd Dróg Miejskich
GKM/ZDM/453</t>
  </si>
  <si>
    <t>Zarząd Dróg Miejskich
GKM/ZDM/5901</t>
  </si>
  <si>
    <t>Zarząd Dróg Miejskich
GKM/ZDM/451</t>
  </si>
  <si>
    <t>Zarząd Dróg Miejskich
GKM/ZDM/454</t>
  </si>
  <si>
    <t>Zarząd Dróg Miejskich
GKM/ZDM/47</t>
  </si>
  <si>
    <t>Zarząd Dróg Miejskich
GKM/ZDM/3891</t>
  </si>
  <si>
    <t>Zarząd Dróg Miejskich
GKM/ZDM/3672</t>
  </si>
  <si>
    <t>Zarząd Dróg Miejskich
GKM/ZDM/380</t>
  </si>
  <si>
    <t>Zarząd Dróg Miejskich
GKM/ZDM512</t>
  </si>
  <si>
    <t>Zarząd Dróg Miejskich
GKM/ZDM/377</t>
  </si>
  <si>
    <t>POSIR
KF/POSIR/1</t>
  </si>
  <si>
    <t>POSIR
KF/POSIR/2</t>
  </si>
  <si>
    <t>POSIR
KF/POSIR/3</t>
  </si>
  <si>
    <t>POSIR
KF/POSIR/4</t>
  </si>
  <si>
    <t>POSIR
KF/POSIR/9</t>
  </si>
  <si>
    <t>Zarząd Transportu Miejskiego
GKM/ZTM/443</t>
  </si>
  <si>
    <t>Urząd Miasta Poznania
  OW/OW/1851</t>
  </si>
  <si>
    <r>
      <t>GEOPOZ</t>
    </r>
    <r>
      <rPr>
        <i/>
        <sz val="9"/>
        <rFont val="Arial CE"/>
        <family val="0"/>
      </rPr>
      <t xml:space="preserve">
</t>
    </r>
    <r>
      <rPr>
        <i/>
        <sz val="8"/>
        <rFont val="Arial CE"/>
        <family val="0"/>
      </rPr>
      <t>GEOPOZ/GEOPOZ/4</t>
    </r>
  </si>
  <si>
    <t>ZKZL
GKM/ZKZL/112</t>
  </si>
  <si>
    <t>ZKZL
GKM/ZKZL/111</t>
  </si>
  <si>
    <t>2009-2013</t>
  </si>
  <si>
    <t>Modernizacją pomieszczeń w szpitalu przy ul. Szwajcarskiej</t>
  </si>
  <si>
    <t>Dostosowanie pomieszczeń do obowiązujących standardów</t>
  </si>
  <si>
    <t>Wykonanie pełnej dokumentacji oraz uzyskanie pozwolenia na budowę dla nowego Oddziału ZOLiRM-u</t>
  </si>
  <si>
    <t>Dostosowanie budynku do obowiązujących standardów</t>
  </si>
  <si>
    <t>Doprowadzenie pomieszczeń do wlaściwego stanu sanitarno-epidemiologicznego, stworzenie właściwych warunków bezpieczeństwa, przywrócenie sprawności technicznej instalacji sanitarnej, wodnej i grzewczej, zabezpieczenie budynku przed zalaniem i pożarem</t>
  </si>
  <si>
    <t>Urząd Miasta Poznania
GKM/GKM/497</t>
  </si>
  <si>
    <t>Urząd Miasta Poznania
RGŻ/RGŻ/2</t>
  </si>
  <si>
    <t>Urząd Miasta Poznania
KSZ/KSZ/1</t>
  </si>
  <si>
    <t>Urząd Miasta Poznania
GN/GN/6</t>
  </si>
  <si>
    <t>Muzeum Archeologiczne
KSZ/MUZAR/100</t>
  </si>
  <si>
    <t>CK ZAMEK
KSZ/ZAMEK/98</t>
  </si>
  <si>
    <t>Biblioteka Raczyńskich
KSZ/BIRACZ/19</t>
  </si>
  <si>
    <t>Biblioteka Raczyńskich
KSZ/BIRACZ/96</t>
  </si>
  <si>
    <t>Teatr Muzyczny
KSZ/TMUZ/109</t>
  </si>
  <si>
    <t>Teatr Polski
KSZ/TPOL/3</t>
  </si>
  <si>
    <t>Ogród Zoologiczny
GKM/ZOO/400</t>
  </si>
  <si>
    <t>Ogród Zoologiczny
GKM/ZOO/447</t>
  </si>
  <si>
    <t>Ogród Zoologiczny
GKM/ZOO/117</t>
  </si>
  <si>
    <t>Zarząd Dróg Miejskich
GKM/ZDM/405</t>
  </si>
  <si>
    <t>Zarząd Zieleni Miejskiej
ZZM/ZZM/73</t>
  </si>
  <si>
    <t>Zarząd Dróg Miejskich
GKM/ZDM/1841</t>
  </si>
  <si>
    <r>
      <t>Zakład Zagospodarowania Odpadów</t>
    </r>
    <r>
      <rPr>
        <i/>
        <sz val="10"/>
        <rFont val="Arial CE"/>
        <family val="2"/>
      </rPr>
      <t xml:space="preserve">
GKM/ZZO/330</t>
    </r>
  </si>
  <si>
    <t>Urząd Miasta Poznania
GKM/ZOZ/52</t>
  </si>
  <si>
    <t>Urząd Miasta Poznania
ZSS/ZSS/36</t>
  </si>
  <si>
    <r>
      <t>Dzienny Dom Pomocy Społecznej przy ul. Konopnickiej</t>
    </r>
    <r>
      <rPr>
        <i/>
        <sz val="10"/>
        <rFont val="Arial CE"/>
        <family val="2"/>
      </rPr>
      <t xml:space="preserve">
ZSS/DDPS1/3</t>
    </r>
  </si>
  <si>
    <t>Ośrodek dla Bezdomnych
ZSS/ODB1/1</t>
  </si>
  <si>
    <t>Zarząd Dróg Miejskich
GKM/ZDM/358</t>
  </si>
  <si>
    <t>Zarząd Dróg Miejskich
GKM/ZDM/185</t>
  </si>
  <si>
    <t>Zarząd Dróg Miejskich
GKM/ZDM/350</t>
  </si>
  <si>
    <t>Zarząd Dróg Miejskich
GKM/ZDM/3501</t>
  </si>
  <si>
    <t>ZOZ Poznań Jeżyce
ZSS/ZOZ/35</t>
  </si>
  <si>
    <r>
      <t>Dom Pomocy Społecznej przy ul. Konarskiego</t>
    </r>
    <r>
      <rPr>
        <i/>
        <sz val="10"/>
        <rFont val="Arial CE"/>
        <family val="0"/>
      </rPr>
      <t xml:space="preserve">
ZSS/DPS2/14</t>
    </r>
  </si>
  <si>
    <r>
      <t>Dom Dziecka nr 2</t>
    </r>
    <r>
      <rPr>
        <i/>
        <sz val="10"/>
        <rFont val="Arial CE"/>
        <family val="0"/>
      </rPr>
      <t xml:space="preserve">
ZSS/DD2/8</t>
    </r>
  </si>
  <si>
    <t>Urząd Miasta Poznania
ZSS/ZOZ/7</t>
  </si>
  <si>
    <t>Urząd Miasta Poznania
GKM/ZOZ/1</t>
  </si>
  <si>
    <t>Urząd Miasta Poznania
ZSS/ZOZ/14</t>
  </si>
  <si>
    <t>Urząd Miasta Poznania
ZSS/ZOZ/50</t>
  </si>
  <si>
    <r>
      <t>Urząd Miasta Poznania</t>
    </r>
    <r>
      <rPr>
        <i/>
        <sz val="10"/>
        <rFont val="Arial CE"/>
        <family val="2"/>
      </rPr>
      <t xml:space="preserve">
ZSS/ZOL/1</t>
    </r>
  </si>
  <si>
    <t>Urząd Miasta Poznania
ZSS/ZOZ/19</t>
  </si>
  <si>
    <t>Urząd Miasta Poznania
ZSS/ZOZ/20</t>
  </si>
  <si>
    <t>Urząd Miasta Poznania
ZSS/ZOL/3</t>
  </si>
  <si>
    <t>EFRR
WRPO  
VI / 6.2</t>
  </si>
  <si>
    <t xml:space="preserve">RAZEM 
</t>
  </si>
  <si>
    <t>Spełnienie wymagań dotyczących lokalizacji, eksploatacji i zamknięcia składowiska odpadów, zapewnienie bezpiecznego dla zdrowia ludzi i dla środowiska warunków składowania odpadów, a w szczególności zapobieganie zanieczyszczeniu wód powierzchniowych i podziemnych, gleby i powietrza</t>
  </si>
  <si>
    <t>Podłączenie do poznańskiego systemu wodno-kanalizacyjnego nowych odbiorców (ca 900 mk) nowego osiedle przekształconego z ogródków działkowych oraz uporządkowanie gospodarki ściekowej w rejonie ul. Kordeckiego, Słowiczej i Węglowej</t>
  </si>
  <si>
    <t>Udostępnienie laboratoryjnego środowiska zdalnego monitoringu i diagnostyki pacjenta w otoczeniu domowym, oraz uruchomienie pilotażowych usług profilaktyki zdrowotnej, monitorowania zdrowia osób chronicznie chorych, niepełnosprawnych i starszych</t>
  </si>
  <si>
    <t>Załącznik nr 4 do uchwały nr VI/41/VI/2011</t>
  </si>
  <si>
    <t>z dnia 27 stycznia 2011 r.</t>
  </si>
  <si>
    <t>Wykonanie Rozporządzenia Ministra Pracy i Polityki Społecznej z dnia 19.10.2007r. w sprawie placówek opiekuńczo - wychowawczych (Dz.U.07.201.1455)</t>
  </si>
  <si>
    <r>
      <t xml:space="preserve">EFRR
</t>
    </r>
    <r>
      <rPr>
        <i/>
        <sz val="9"/>
        <rFont val="Arial CE"/>
        <family val="0"/>
      </rPr>
      <t>INTERREG IV C</t>
    </r>
  </si>
  <si>
    <t>w.bież</t>
  </si>
  <si>
    <t>Wzrost jakości procesu kształcenia 150 uczniów techników poznańskich szkół zawodowych poprzez zajęcia pozalekcyjne  (matematyka, ICT, techniki uczenia się i autoprezentacji ) z wykorzystaniem platformy elearningowej</t>
  </si>
  <si>
    <t>Nowe kierunki kształcenia oraz efektywny program zarządzania placówką oświatową szansą dla rozwoju PCEUiP</t>
  </si>
  <si>
    <t>Modernizacja oferty kształcenia i dostosowanie jej do potrzeb lokalnego i regionalnego rynku pracy poprzez modyfikacje programu nauczania na kierunku mechatronika i otworzenie kierunku odnawialne źródła energii</t>
  </si>
  <si>
    <t>Realizacja zajęć pozalekcyjnych skierowanych na podwyższenie kwalifikacji zawodowych uczniów Zespołu Szkół Mechanicznych w Poznaniu</t>
  </si>
  <si>
    <t>Jeżeli mechatronika to tylko w Zespole Szkół Mechanicznych w Poznaniu</t>
  </si>
  <si>
    <t>Program Leonardo da Vinci</t>
  </si>
  <si>
    <t>Poprawa warunków wychowania i kształcenia poprzez modernizację, rozbudowę i budowę  bazy oświatowej</t>
  </si>
  <si>
    <t>Wdrożenie, w partnerstwie z firmą Toyota, innowacyjnej formy nauczania metodą blended-learning, skierowanej do uczniów klas I Technikum Zespołu Szkół Samochodowych w Poznaniu, kształcących się w zawodzie technik pojazdów samochodowych</t>
  </si>
  <si>
    <t>Podniesienie jakości procesu kształcenia uczniów poznańskich szkół zawodowych - Zespołu Szkół Samochodowych, lidera projektu oraz 3 partnerów - Zespołu Szkół Handlowych, Zespołu Szkół Łączności i Zespołu Szkół Komunikacji. W ramach projektu zostanie wzbogacona oferta edukacyjna 4 szkół zawodowych poprzez wdrożenie nowoczesnych metod nauczania z wykorzystaniem kształcenia zdalnego</t>
  </si>
  <si>
    <t>Dyplom też dla mnie. Program wsparcia dla uczniów Zespołu Szkół Zawodowych Nr 2 w Poznaniu</t>
  </si>
  <si>
    <t>Podniesienie kompetencji zawodowych oraz rozwijanie umiejętności i kompetencji społecznych niezbędnych na rynku pracy 16 niezatrudnionych absolwentów zasadniczych szkół specjalnych poprzez kursy, warsztaty i szkolenia, doradztwo zawodowe i integrację społeczną</t>
  </si>
  <si>
    <t>Podniesienie jakości kształcenia w XI LO, V LO i XXVI LO poprzez wdrożenie programów rozwojowych opartych na realizacji zajęć pozalekcyjnych - lektoratów z j.rosyjskiego, j.angielskiego, j.japońskiego i j.hiszpańskiego; zajęć wyrównawczych z matematyki oraz chemii; wykładów z historii, gospodarki i kultury Europy Wschodniej oraz Japonii</t>
  </si>
  <si>
    <t xml:space="preserve">Poznański Klaster Edukacyjny - wzmocnienie konkurencyjności przedsiębiorstw zaangażowanych w procesie wspomagania kształcenia </t>
  </si>
  <si>
    <t>Wzrost i rozwój przedsiębiorczości, aktywizacji i samozatrudnienia 50 osób</t>
  </si>
  <si>
    <t>Zapobieganie wykluczeniu cyfrowemu osób biednych i niepełnosprawnych</t>
  </si>
  <si>
    <t>2007-2015</t>
  </si>
  <si>
    <t>2007-2012</t>
  </si>
  <si>
    <t>2007-2011 i 2016-2018</t>
  </si>
  <si>
    <t>2011-2016</t>
  </si>
  <si>
    <t>2001-2011</t>
  </si>
  <si>
    <t>MKPSP
ZKB/MKPSP/16</t>
  </si>
  <si>
    <t>Urząd Miasta Poznania
  OW/OW/53</t>
  </si>
  <si>
    <t>Urząd Miasta Poznania
  OW/OW/142</t>
  </si>
  <si>
    <t>Urząd Miasta Poznania
  OW/OW/300</t>
  </si>
  <si>
    <r>
      <t>Urząd Miasta Poznania</t>
    </r>
    <r>
      <rPr>
        <i/>
        <sz val="9"/>
        <rFont val="Arial CE"/>
        <family val="0"/>
      </rPr>
      <t xml:space="preserve">
OW/SSM1/199</t>
    </r>
  </si>
  <si>
    <t>1981-2011</t>
  </si>
  <si>
    <t>2006-2012</t>
  </si>
  <si>
    <t>2014-2015</t>
  </si>
  <si>
    <t>Strefa Płatnego Parkowania na obszarze Jeżyc - automaty parkingowe wraz z montażem</t>
  </si>
  <si>
    <t>Uporządkowanie problemu parkowania na Jeżycach, poprawa bezpieczeństwa ruchu, bezpieczeństwa pieszych, ochrona zieleni przyulicznej</t>
  </si>
  <si>
    <t xml:space="preserve">Budowa układu drogowego ronda ul. Malwowa - Skórzewska - Złotowska </t>
  </si>
  <si>
    <t>Zakup i montaż automatów biletowych dla komunikacji miejskiej</t>
  </si>
  <si>
    <t>Ułatwienie korzystania z komunikacji publicznej, zwiększenie liczby punktów dystrybucji biletów komunikacji publicznej</t>
  </si>
  <si>
    <t>Budowa układu drogowego ul. Nowej Naramowickiej w celu uruchomienia nowych terenów iwestycyjnych na Naramowicach, poprawa obsługi komunikacyjnej istniejącej zabudowy</t>
  </si>
  <si>
    <t>Budowa szpitala ZOZ Poznań-Nowe Miasto</t>
  </si>
  <si>
    <t>Modernizacja pomieszczeń Apteki Szpitalnej i Anatomii Patologicznej Szpitala przy ul. Szwajcarskiej 3</t>
  </si>
  <si>
    <t>Kompleksowa modernizacja budynków ZOLiRM przy ul. Mogileńskiej</t>
  </si>
  <si>
    <t>Zapewnienie właściwej infrastruktury technicznej szpitala - standaryzacja ZOZ Poznań-Jeżyce</t>
  </si>
  <si>
    <t>Zapewnienie właściwej infrastruktury technicznej szpitala - standaryzacja ZOZ Poznań-Stare Miasto</t>
  </si>
  <si>
    <t>Modernizacja nowego obiektu dla filii ZOLiRM w Owińskach</t>
  </si>
  <si>
    <t>System usług monitorowania pacjenta</t>
  </si>
  <si>
    <t>Dzienny Dom Pomocy Społecznej przy ul. Konopnickiej - modernizacja budynku</t>
  </si>
  <si>
    <t>Ośrodek dla Bezdomnych przy ul.Michałowo 68 - modernizacja</t>
  </si>
  <si>
    <t>2013-2014</t>
  </si>
  <si>
    <t xml:space="preserve">Bezpieczny Poznań </t>
  </si>
  <si>
    <t>Utrzymanie zdolności do reagowania oraz zabezpieczenie przed skutkami klęsk żywiołowych katastrof naturalnych i innych zdarzeń losowych</t>
  </si>
  <si>
    <t>Budowa kolektora deszczowego "Łacina" (wyposażenie w infrastrukturę obszaru aktywizacji gospodarczej "Łacina")</t>
  </si>
  <si>
    <t>Budowa kanalizacji deszczowej Szczepankowo-Spławie - etap I</t>
  </si>
  <si>
    <t>Budowa sieci wodociągowej oraz kanalizacji sanitarnej i deszczowej wraz z budową dróg i chodników na terenie os. Księdza Skorupki</t>
  </si>
  <si>
    <t>Budowa kanalizacji deszczowej Szczepankowo-Spławie - etap II</t>
  </si>
  <si>
    <t>Budowa dróg rowerowych (Program budowy dróg rowerowych)</t>
  </si>
  <si>
    <t>Upowszechnienie komunikacji rowerowej, zapewnienie każdemu chętnemu warunków do poruszania się rowerem w dogodnych warunkach środowiska miejskiego.</t>
  </si>
  <si>
    <t>Zarząd Dróg Miejskich GKM/ZDM/37</t>
  </si>
  <si>
    <t>2002-2015</t>
  </si>
  <si>
    <t>Ochrona akustyczna ulic</t>
  </si>
  <si>
    <t>Polepszenie warunków życia mieszkańców poprzez podejmowanie przedsięwzięć technicznych dla zmniejszenia poziomu hałasu tam gdzie jest on ponad normatywny</t>
  </si>
  <si>
    <t>Zarząd Dróg Miejskich GKM/ZDM/190</t>
  </si>
  <si>
    <t>Budowa urządzeń do oczyszczania ścieków deszczowych</t>
  </si>
  <si>
    <t>Poprawa jakości życia mieszkańców poprzez tworzenie warunków dla utrzymania czystości i porządku w mieście</t>
  </si>
  <si>
    <t>Zarząd Dróg Miejskich GKM/ZDM/191</t>
  </si>
  <si>
    <t>System Informacji Miejskiej</t>
  </si>
  <si>
    <t>Ułatwienie mieszkańcom i gościom odwiedzającym Poznań dotarcia do najważniejszych miejsc i obiektów: użytkowych, publicznych, zabytkowych, atrakcyjnych turystycznie oraz szybszy i łatwiejszy dostęp do poszukiwanych informacji</t>
  </si>
  <si>
    <t>Zarząd Dróg Miejskich GKM/ZDM/257</t>
  </si>
  <si>
    <t>2004-2015</t>
  </si>
  <si>
    <t>Ulice lokalne i peryferyjne</t>
  </si>
  <si>
    <t>Zapewnienie infrastruktury drogowej, w tym w szczególności na obszarach peryferyjnych miasta</t>
  </si>
  <si>
    <t>Zarząd Dróg Miejskich GKM/ZDM/31</t>
  </si>
  <si>
    <t>2000-2015</t>
  </si>
  <si>
    <t>Budowa oświetlenia ulicznego wydzielonego na drogach powiatowych, wojewódzkich i krajowych</t>
  </si>
  <si>
    <t>Poprawa stanu bezpieczeństwa publicznego</t>
  </si>
  <si>
    <t>Zarząd Dróg Miejskich GKM/ZDM/36</t>
  </si>
  <si>
    <t>2005-2015</t>
  </si>
  <si>
    <t>Budowa chodników</t>
  </si>
  <si>
    <t>Poprawa bezpieczeństwa i usprawnienie ruchu oraz udrożnienie układu komunikacyjnego miasta w obszarze I, II, III ramy komunikacyjnej miasta</t>
  </si>
  <si>
    <t>Zarząd Dróg Miejskich GKM/ZDM/353</t>
  </si>
  <si>
    <t>2006-2015</t>
  </si>
  <si>
    <t>Budowa oświetlenia ulicznego wydzielonego na drogach gminnych + iluminacje</t>
  </si>
  <si>
    <t>Zarząd Dróg Miejskich GKM/ZDM/360</t>
  </si>
  <si>
    <t>Opracowanie koncepcji układów komunikacyjnych, projekty i studia wykonalności</t>
  </si>
  <si>
    <t>Przeciwdziałanie skutkom rosnącego zatłoczenia motoryzacyjnego, dążenie do poprawy standardów podróży w mieście i aglomeracji poznańskiej</t>
  </si>
  <si>
    <t>Zarząd Dróg Miejskich GKM/ZDM/39</t>
  </si>
  <si>
    <t>Przebudowa utwardzonych ulic wojewódzkich i powiatowych</t>
  </si>
  <si>
    <t>Zarząd Dróg Miejskich GKM/ZDM/418</t>
  </si>
  <si>
    <t>Przebudowa utwardzonych ulic gminnych</t>
  </si>
  <si>
    <t>Zarząd Dróg Miejskich GKM/ZDM/419</t>
  </si>
  <si>
    <t>Przebudowa dróg wewnętrznych</t>
  </si>
  <si>
    <t>Zapewnienie infrastruktury drogowej, w tym w szczególności na obszarach peryferyjnych miasta.</t>
  </si>
  <si>
    <t>Zarząd Dróg Miejskich GKM/ZDM/375</t>
  </si>
  <si>
    <t>Modernizacja obiektów inżynierskich</t>
  </si>
  <si>
    <t>Zarząd Dróg Miejskich GKM/ZDM/401</t>
  </si>
  <si>
    <t>Rozbudowa systemu sygnalizacji świetlnych, przebudowa skrzyżowań</t>
  </si>
  <si>
    <t>Zarząd Dróg Miejskich GKM/ZDM/33</t>
  </si>
  <si>
    <t>Budowa sali gimnastycznej przy Szkole Podstawowej nr 10 ul. Bosa</t>
  </si>
  <si>
    <t xml:space="preserve">Urząd Miasta Poznania
  OW/OW/282 </t>
  </si>
  <si>
    <t>Budowa przedszkola na Naramowicach</t>
  </si>
  <si>
    <t>Urząd Miasta Poznania
  OW/OW/294</t>
  </si>
  <si>
    <t xml:space="preserve">wkład własny </t>
  </si>
  <si>
    <t>RECO - Współpraca dla wzmocnienia metod promowania zdrowia i jakości życia dla starzejącego się społeczeństwa poprzez rozwój metod współpracy pomiędzy samorządami miejskimi, wolontariuszami, organizacjami pozarządowymi i uniwersytetami</t>
  </si>
  <si>
    <t>Polepszenie jakości życia osób starszych szczególnie poprzez wychodzenie naprzeciw potrzebom opieki zdrowotnej</t>
  </si>
  <si>
    <t>EFRR
INTERREG IVC
CREATOR</t>
  </si>
  <si>
    <t>Centrum Inicjatyw Senioralnych</t>
  </si>
  <si>
    <t>zal 2 budzet</t>
  </si>
  <si>
    <t>Rozbudowa i modernizacja miejskiego składowiska odpadów komunalnych</t>
  </si>
  <si>
    <t>2005-2020</t>
  </si>
  <si>
    <t xml:space="preserve">Budowa kolektora deszczowego "Nowa Bogdanka" </t>
  </si>
  <si>
    <t>Modernizacja przepompowni "Bielniki"</t>
  </si>
  <si>
    <t>Rozbudowa i modernizacja infrastruktury Parku Cytadela</t>
  </si>
  <si>
    <t>Fontanna na pl. Wolności</t>
  </si>
  <si>
    <t>Modernizacja dachu zimowiska ptaków na zapleczu ZOO przy ul. Browarnej</t>
  </si>
  <si>
    <t>Park miejski na terenie Starego ZOO</t>
  </si>
  <si>
    <t>Modernizacja dwóch stawów na terenie Starego ZOO</t>
  </si>
  <si>
    <t>Modernizacja obiektów kompleksu Chwiałka</t>
  </si>
  <si>
    <t>Modernizacja Stadionu Miejskiego</t>
  </si>
  <si>
    <t>2002-2011</t>
  </si>
  <si>
    <t>Modernizacja Toru Regatowego Malta (w tym oczyszczenie Jeziora Maltańskiego)</t>
  </si>
  <si>
    <t>2002-2014</t>
  </si>
  <si>
    <t>Budowa zespołu sportowych basenów olimpijskich w ramach kompleksu sportowo-rekreacyjnego TERMY MALTAŃSKIE</t>
  </si>
  <si>
    <t>Wielobranżowa modernizacja HWS Arena</t>
  </si>
  <si>
    <t>2002-2012</t>
  </si>
  <si>
    <t>MIESZKALNICTWO</t>
  </si>
  <si>
    <t>Budownictwo komunalne</t>
  </si>
  <si>
    <t>2009-2015</t>
  </si>
  <si>
    <t xml:space="preserve">Program termomodernizacji budynków komunalnych </t>
  </si>
  <si>
    <t>Budowa szkoły podstawowej z salą gimnastyczną-Strzeszyn</t>
  </si>
  <si>
    <t>Ogród Jordanowski nr 2- budowa świetlicy</t>
  </si>
  <si>
    <t>Zespół Szkół nr 4 "Łejery" - budowa teatru</t>
  </si>
  <si>
    <t>2009-2014</t>
  </si>
  <si>
    <t>Budowa budynku Liceum Ogólnokształcacego nr VIII wraz z zagospodarowaniem</t>
  </si>
  <si>
    <t>Szkolne Schronisko Młodzieżowe Nr 1 ul. Głuszyna - modernizacja schroniska szkolnego</t>
  </si>
  <si>
    <t>Interaktywne Centrum Historii Ostrowa Tumskiego w Poznaniu - kolebki państwowości i chrześcijaństwa w Polsce</t>
  </si>
  <si>
    <t>Pozyskiwanie lokali komunalnch</t>
  </si>
  <si>
    <t xml:space="preserve"> Podniesienie standardu budynków komunalnych</t>
  </si>
  <si>
    <t>Poprawa bezpieczeństwa w budynku</t>
  </si>
  <si>
    <t>EFRR
PO IŚ
XII / 12.1</t>
  </si>
  <si>
    <t>Obniżenie poziomu śmiertelności oraz skutków powikłań powstających w wyniku wypadków i innych stanów nagłego zagrożenia życia poprzez adaptację pomieszczeń i zakup wyposażenia Oddziału Anestezjologii i Intensywnej Terapii oraz budowę lądowiska dla potrzeb stworzenia Centrum Urazowego przy ul. Szwajcarskiej 3 w Poznaniu</t>
  </si>
  <si>
    <t xml:space="preserve">3. Umowy których realizacja w roku budżetowym i w latach następnych jest niezbedna dla zapewnienia ciągłości działania jednostki </t>
  </si>
  <si>
    <t xml:space="preserve">     i których płatności przypadają w okresie dłuższym niż rok</t>
  </si>
  <si>
    <t>Odbudowa Zamku Królewskiego na Wzgórzu Przemysła w Poznaniu - dofinansowanie</t>
  </si>
  <si>
    <t>Rewitalizacja Wzgórza Przemysła i uatrakcyjnienie walorów turystycznych Traktu Królewsko - Cesarskiego</t>
  </si>
  <si>
    <t>Teatr Polski - rozbudowa budynku Malarni i zaplecza sceny</t>
  </si>
  <si>
    <t>Pozyskanie przebudowanej i zmodernizowanej placówki kultury, w pełni odpowiadającej współczesnym oczekiwaniom i potrzebom potencjalnych odbiorców</t>
  </si>
  <si>
    <t>Budowanie i kreowanie tożsamości Poznania i Wielkopolski w związku z tradycją i dziedzictwem kulturowym, umacnianie więzi i identyfikacji mieszkańców z miastem i regionem</t>
  </si>
  <si>
    <t>Teatr Muzyczny - adaptacja budynku na siedzibę Teatru</t>
  </si>
  <si>
    <t>Adaptacja budynku po dawnym Kinie Olimpia na siedziebe Teatru Muzycznego</t>
  </si>
  <si>
    <t>Rewitalizacja terenów fortów komunalnych</t>
  </si>
  <si>
    <t>Rewitalizacja terenów fortów komunalnych i ich ochrona przed degradacją  przy poszanowaniu wymogów konserwatorskich oraz zasad ochrony środowiska przyrodniczego</t>
  </si>
  <si>
    <t>Klasyfikacja budżetowa</t>
  </si>
  <si>
    <t>Dziedzina/ przedsięwzięcie/ cel</t>
  </si>
  <si>
    <t>Fundusz/
Program/
Priorytet/
Działanie</t>
  </si>
  <si>
    <t>Jednostka organizacyjna / nr zadania inwestycyjnego</t>
  </si>
  <si>
    <t>Okres realizacji</t>
  </si>
  <si>
    <t>Łączne nakłady finansowe</t>
  </si>
  <si>
    <t>wydatki bieżące / majatkowe</t>
  </si>
  <si>
    <t>Żródło finansowania</t>
  </si>
  <si>
    <t>limit wydatków</t>
  </si>
  <si>
    <t>limit zobowiązań</t>
  </si>
  <si>
    <t>DROGI ORAZ KOMUNIKACJA ZBIOROWA</t>
  </si>
  <si>
    <t>SUGAR (Sustainable Urban Goods logistics Achieved by Regional and local policies)</t>
  </si>
  <si>
    <t>Oczyszczanie ścieków i dostawa wody dla miasta Poznania</t>
  </si>
  <si>
    <t>Fundusz Spójności
ISPA</t>
  </si>
  <si>
    <t>Urząd Miasta Poznania
GKM/GKM/249</t>
  </si>
  <si>
    <t>Ograniczenie zrzutu nieoczyszczonych ścieków do rzek oraz poprawa jakości wody pitnej i klasy czystości wód powierzchniowych z obecnej poza klasą III do II klasy czystości</t>
  </si>
  <si>
    <t>Przeciwdziałanie zjawiskom i skutkom rosnącego zatłoczenia motoryzacyjnego poprzez wymianę dobrych praktyk i doświadczeń</t>
  </si>
  <si>
    <t>Urząd Miasta Poznania</t>
  </si>
  <si>
    <t>2009-2012</t>
  </si>
  <si>
    <t>w. bież.</t>
  </si>
  <si>
    <t>środki UE</t>
  </si>
  <si>
    <t>środki z BP</t>
  </si>
  <si>
    <t>wkład własny</t>
  </si>
  <si>
    <t>Σ</t>
  </si>
  <si>
    <t>w. maj.</t>
  </si>
  <si>
    <t>Potrzeby kadrowe przedsiębiorców aglomeracji poznańskiej na tle kierunków społeczno-gospodarczego rozwoju regionu - diagnoza, prognoza, monitoring</t>
  </si>
  <si>
    <t>Dostosowanie kwalifikacji i umiejętności pracobiorców do aktualnych i prognozowanych potrzeb gospodarki aglomeracji poznańskiej poprzez wsparcie działań służących reorientacji systemu kształcenia i szkoleń</t>
  </si>
  <si>
    <t>EFS
PO KL
VIII / 8.1.2</t>
  </si>
  <si>
    <t>2008-2011</t>
  </si>
  <si>
    <t>Naukowiec w biznesie - staże pracowników naukowych w przedsiębiorstwach</t>
  </si>
  <si>
    <t xml:space="preserve"> ADMINISTRACJA</t>
  </si>
  <si>
    <t>Oświata</t>
  </si>
  <si>
    <t>NOVUS - program rozwoju administracji samorzadowej Warszawa, Poznań Lublin Ełk i Łódź</t>
  </si>
  <si>
    <t>Podniesienie jakości usług publicznych w administracji samorządowej Warszawy, Poznania, Lublina, Ełku i Łodzi dostosowanych do potrzeb społeczeństwa informacyjnego</t>
  </si>
  <si>
    <t>EFS
PO KL
V / 5.2</t>
  </si>
  <si>
    <t>2010-2012</t>
  </si>
  <si>
    <t>OŚWIATA</t>
  </si>
  <si>
    <t>Utworzenie ogólnodostępnych stref rekreacji dziecięcej w Poznaniu i prowadzenie zajęć pozalekcyjnych</t>
  </si>
  <si>
    <t>Promowanie aktywnego stylu życia dzieci poprzez aktywny wypoczynek</t>
  </si>
  <si>
    <t>MF EOG</t>
  </si>
  <si>
    <t>2007-2011</t>
  </si>
  <si>
    <t>środki MF EOG</t>
  </si>
  <si>
    <t>Klucz do sukcesu</t>
  </si>
  <si>
    <t>EFS
PO KL
IX / 9.2</t>
  </si>
  <si>
    <t>Zespół Szkół Komunikacji</t>
  </si>
  <si>
    <t>wkład własny bezgotówkowy</t>
  </si>
  <si>
    <t>Gotowi na przyszłość - systemowy program doradztwa edukacyjno-zawodowego w poznańskich szkołach zawodowych</t>
  </si>
  <si>
    <t>Zwiększenie szans uczniów szkół zawodowych na dokonanie trafnego wyboru dalszej drogi edukacyjnej i zawodowej</t>
  </si>
  <si>
    <t>Zespół Szkół Licealno-Technicznych</t>
  </si>
  <si>
    <t>2011-2012</t>
  </si>
  <si>
    <t>Kształcenie na odległość metodą blended learning w zawodzie technik telekomunikacji w Zespole Szkół Łączności</t>
  </si>
  <si>
    <t>Zwiększenie dostępności oferty edukacyjnej kształcenia ustawicznego w zawodzie technik telekomunikacji w woj. wielkopolskim poprzez rozwój usług kształcenia na odległość w Szkole Policealnej nr 34 w ZSŁ</t>
  </si>
  <si>
    <t>EFS
PO KL
IX / 9.3</t>
  </si>
  <si>
    <t>Zespół Szkół Łączności</t>
  </si>
  <si>
    <t>2009-2011</t>
  </si>
  <si>
    <t>Oscylotronik - wirtualna firma jako forma nauczania praktycznego w Zespole Szkół Łączności</t>
  </si>
  <si>
    <t>Wzrost kompetencji zawodowych oraz rozwój umiejętności niezbędnych na rynku pracy poprzez wprowadzenie praktyki zawodowej w formie wirtualnej firmy</t>
  </si>
  <si>
    <t>Edukacja włączeniowa w Liceum Uzupełniającym na podbudowie Zasadniczej Szkoły Zawodowej w ZSŁ w Poznaniu</t>
  </si>
  <si>
    <t xml:space="preserve">Zapewnienie 32 osobom z Wielkopolski, przejawiającym specjalne potrzeby edukacyjne, drożnego i elastycznego przejścia z placówek specjalnych do ogólnodostępnych </t>
  </si>
  <si>
    <t>Zespół Szkół Mechanicznych w Poznaniu to najlepszy wybór na przyszłość</t>
  </si>
  <si>
    <t>Wdrożenie kompleksowego programu rozwojowego zakładającego modernizację oferty kształcenia ogólnego i zawodowego na kierunku mechatronik i dostosowanie jej do potrzeb wielkopolskiego rynku pracy</t>
  </si>
  <si>
    <t>Zespół Szkół Mechanicznych</t>
  </si>
  <si>
    <t>Moja pierwsza firma</t>
  </si>
  <si>
    <t>Podniesienie jakości procesu kształcenia w ZSH poprzez podniesienie kompetencji uczniów w zakresie: jezyków obcych przedsiębiorczości ICT, obsługi kasy fiskalnej</t>
  </si>
  <si>
    <t>Zespół Szkół Handlowych</t>
  </si>
  <si>
    <t>Uczeń z certyfikatem - sojusznik pracodawcy</t>
  </si>
  <si>
    <t>Potwierdź swoje kwalifikacje zawodowe</t>
  </si>
  <si>
    <t>Ułatwienie osobom posiadającym kwalifikacje zdobyte w sposób pozaformalny i nieformalny potwierdzenia ich poprzez egzamin zewnętrzny</t>
  </si>
  <si>
    <t>Poznańskie Centrum Edukacji Ustawicznej i Praktycznej</t>
  </si>
  <si>
    <t>2010-2011</t>
  </si>
  <si>
    <t>Zespół Szkół Mechanicznych w Poznaniu uczy ciekawie i nowocześnie</t>
  </si>
  <si>
    <t>Wdrożenie programu rozwojowego zakładającego modernizację oferty kształcenia zawodowego na kierunku mechatronik i dostosowanie jej do potrzeb rynku pracy</t>
  </si>
  <si>
    <t>Dążymy do perfekcji</t>
  </si>
  <si>
    <t>Zespół Szkół Samochodowych</t>
  </si>
  <si>
    <t>Czas na profesjonalistów - podniesienie jakości procesu kształcenia uczniów poznańskich szkół zawodowych</t>
  </si>
  <si>
    <t>+ Lakiernik - Profesjonalista na rynku pracy</t>
  </si>
  <si>
    <t>Zdobycie przez uczniów Zespołu Szkół Samochodowych w partnerstwie z Poznańskim Centrum Edukacji Ustawicznej i Praktycznej dodatkowych kwalifikacji zawodowych, potwierdzonych uzyskaniem dyplomu uprawniającego do pracy w zawodzie lakiernik samochodowy</t>
  </si>
  <si>
    <t>Z matematyką do sukcesu</t>
  </si>
  <si>
    <t>Realizacja zajęć pozalekcyjnych z matematyki w Zespole Szkół Handlowych w Poznaniu, ukierunkowanych na przygotowanie uczniów do obowiązkowej matury oraz zwiększenie zainteresowania przedmiotem jako ułatwiającym funkcjonowanie we współczesnym świecie</t>
  </si>
  <si>
    <t>Podnieś swoje kwalifikacje</t>
  </si>
  <si>
    <t>Przeciwdziałanie nierównościom i podwyższenie kwalifikacji 32 słuchaczek szkoły dla dorosłych poprzez zajęcia informatyczne i językowe</t>
  </si>
  <si>
    <t>Człowiek przedsiębiorczy filarem gospodarki rynkowej</t>
  </si>
  <si>
    <t>Realizacja zajęć pozalekcyjnych w zakresie języka obcego, psychoterapii systemowej, rynku pracy oraz praktyk w Zespole Szkół Handlowych w Poznaniu, skutkujących wzmocnieniem zdolności do zatrudnienia lub założenia własnej firmy</t>
  </si>
  <si>
    <t>Zespół Szkół Zawodowych 
nr 2</t>
  </si>
  <si>
    <t>Szkolna platforma internetowa w Zespole Szkół Zawodowych Nr 2 w Poznaniu</t>
  </si>
  <si>
    <t>Wdrożenie szkolnej platformy internetowej Moodle, która służyć ma poprawie efektywności nauczania, oceniania oraz zarządzania placówką</t>
  </si>
  <si>
    <t>Edukacja w zakresie nowoczesnych technologii z zasad BHP i fachowego języka angielskiego i niemieckiego szansą na lepszy start zawodowy młodego pokolenia</t>
  </si>
  <si>
    <t>Zespół Szkół Elektrycznych 
nr 1</t>
  </si>
  <si>
    <t>Akademia małego Poznaniaka</t>
  </si>
  <si>
    <t>Wyrównanie szans edukacyjnych poprzez indywidualizację procesu nauczania dzieci  z klas I-III w 66 szkołach podstawowych funkcjonujących w Mieście Poznaniu</t>
  </si>
  <si>
    <t>EFS
PO KL
IX / 9.1.2</t>
  </si>
  <si>
    <t>Wydział Oświaty</t>
  </si>
  <si>
    <t>2010-2013</t>
  </si>
  <si>
    <t>Klub Absolwenta</t>
  </si>
  <si>
    <t>EFS
PO KL
VII / 7.2.1</t>
  </si>
  <si>
    <t>Zespół Szkół Specjalnych 
nr 102</t>
  </si>
  <si>
    <t>Akademia rozwoju umiejętności</t>
  </si>
  <si>
    <t>Pakiet maturalny</t>
  </si>
  <si>
    <t>Zwiększenie w roku szkolnym 2010/2011 ilości, różnorodności oraz jakości dodatkowych zajęć pozalekcyjnych (j.angielskiego, biologii, chemii) i dydaktyczno-wyrównawczych (przygotowujących do egzaminu maturalnego)</t>
  </si>
  <si>
    <t>IV Liceum
Ogólnokształcące</t>
  </si>
  <si>
    <t>Mówię, liczę, doświadczam - fundamentem edukacyjnego sukcesu</t>
  </si>
  <si>
    <t>XI Liceum
Ogólnokształcące</t>
  </si>
  <si>
    <t>Spełniamy nasze marzenia</t>
  </si>
  <si>
    <t>Zmniejszenie zjawiska wykluczenia społecznego wśród młodzieży poprzez uruchomienie środowiskowej świetlicy socjoterapeutycznej</t>
  </si>
  <si>
    <t>Gimnazjum nr 20</t>
  </si>
  <si>
    <t>Program Comenius "Partnerskie projekty szkół"</t>
  </si>
  <si>
    <t>80101 80110 
80120 80130</t>
  </si>
  <si>
    <t>Podniesienie jakości edukacji szkolnej i promowanie świadomości wymiaru europejskiego w procesach edukacyjnych</t>
  </si>
  <si>
    <t>UCZENIE SIĘ PRZEZ CAŁE ŻYCIE</t>
  </si>
  <si>
    <t>Program Comenius Regio</t>
  </si>
  <si>
    <t>Wzmacnianie europejskiego wymiaru w edukacji poprzez promowanie współpracy między lokalnymi i regionalnymi władzami oświatowymi w Europie</t>
  </si>
  <si>
    <t>Wzmocnienie europejskiego kształcenia i szkolenia zawodowego</t>
  </si>
  <si>
    <t>Zakup pomocy dydaktycznych do pracowni spawalniczej i pracowni obrabiarek sterowanych numerycznie dla Poznańskiego Centrum Edukacji Ustawicznej i Praktycznej</t>
  </si>
  <si>
    <t>Poprawa warunków kształcenia ustawicznego i praktycznego poprzez wzbogacenie oferty placówki o nowe urządzenia dydaktyczne</t>
  </si>
  <si>
    <t>EFRR
WRPO
V / 5.2</t>
  </si>
  <si>
    <t>Rozwój i unowocześnienie bazy obiektów oświatowych</t>
  </si>
  <si>
    <t>EFRR
WRPO
I / 1.6</t>
  </si>
  <si>
    <t>środki UE/EOG</t>
  </si>
  <si>
    <t>POLITYKA SPOŁECZNA I ZDROWOTNA</t>
  </si>
  <si>
    <t>ADMINISTRACJA</t>
  </si>
  <si>
    <t>Poznań stawia na zdrowie - profilaktyka wad postawy wśród dzieci uczęszczających do klas I-IV szkół podstawowych w Poznaniu</t>
  </si>
  <si>
    <t>Wczesna diagnostyka wad postawy, ich zapobieganie i utrzymanie właściwej postawy ciała wśród dzieci i młodzieży zamieszkałej w Poznaniu, poprzez uczestnictwo w róznorodnych formach aktywności fizycznej</t>
  </si>
  <si>
    <t>środki EOG</t>
  </si>
  <si>
    <t>OPEN CITIES</t>
  </si>
  <si>
    <t>Wypracowanie strategii i wymiany dobrych praktyk w zakresie przyciągania i utrzymania w miastach kapitału ludzkiego</t>
  </si>
  <si>
    <t>EFRR
INTERREG IVC</t>
  </si>
  <si>
    <t>Reintegracja 45 Plus - ułatwienie dostępu do rynku pracy osobom powyżej 45 roku życia z Poznania i powiatu poznańskiego</t>
  </si>
  <si>
    <t>Wzrost poziomu uczestnictwa na rynku pracy osób powyżej 45 roku życia zagrożonych wykluczeniem społecznym zamieszkałych w Poznaniu i powiecie poznańskim</t>
  </si>
  <si>
    <t>Alternatywne formy opieki dla dzieci pracowników Urzędu Miasta Poznania</t>
  </si>
  <si>
    <t>Ułatwienie 12 pracownikom Urzędu Miasta Poznania powrotu do pracy po przerwie związanej z urodzeniem i wychowaniem dziecka w latach 2009-2011</t>
  </si>
  <si>
    <t>EFS
PO KL
I / 1.3.2</t>
  </si>
  <si>
    <t>TAKI MAŁY A V.I.P - tworzenie systemu ochrony dzieci w wieku do lat 5 przed krzywdzeniem i zaniedbywaniem</t>
  </si>
  <si>
    <t>Poznański Rockefeller - promocja i rozwój przedsiębiorczości na terenie Miasta Poznania</t>
  </si>
  <si>
    <t>EFS
PO KL
VI / 6.2</t>
  </si>
  <si>
    <t>POMOC - AKTYWIZACJA - WSPARCIE</t>
  </si>
  <si>
    <t>85214
85395</t>
  </si>
  <si>
    <t>Poprawa dostępu do rynku pracy osób zagrożonych wykluczeniem społecznym,  korzystających z pomocy społecznej</t>
  </si>
  <si>
    <t>EFS
PO KL
VII / 7.1.1</t>
  </si>
  <si>
    <t>Miejski Osrodek Pomocy Rodzinie</t>
  </si>
  <si>
    <t>Przeciwdziałanie wykluczeniu cyfrowemu w Poznaniu</t>
  </si>
  <si>
    <t>EFRR
PO IG
VIII / 8.3</t>
  </si>
  <si>
    <t>GOSPODARKA KOMUNALNA I OCHRONA ŚRODOWISKA</t>
  </si>
  <si>
    <t>Świadomie i Sprawiedliwie - Gra Miast i kampania na rzecz lokalnych reakcji na Milenijne Cele Rozwoju (MDG)</t>
  </si>
  <si>
    <t>Zwiększenie świadomości i wsparcie publiczne dla Milenijnych Celów Rozwoju i Sprawiedliwego Handlu poprzez wspólne, skoordynowane działania władz lokalnych</t>
  </si>
  <si>
    <t>EuropeAid</t>
  </si>
  <si>
    <t>KULTURA I OCHRONA DÓBR KULTURY</t>
  </si>
  <si>
    <t>CREA. RE - Creative Regions</t>
  </si>
  <si>
    <t>Pełne wykorzystanie potencjału sektorów kreatywnych, prowadzace do zwiększenia konkurencyjności i inowacyjnosci w regionach miejskich i obszarach wiejskich</t>
  </si>
  <si>
    <t>PROMOCJA MIASTA</t>
  </si>
  <si>
    <t>Design z Wielkopolski - promocja kultury regionu</t>
  </si>
  <si>
    <t>OGÓŁEM</t>
  </si>
  <si>
    <t>Dostosowanie edukacji ZSH do aktualnych potrzeb wielkopolskiego rynku pracy poprzez poszerzenie wiedzy i umiejętności praktycznych zainteresowanie pracodawców procesem kształcenia przyszłych pracowników, wykorzystanie specjalistycznego oprogramowania, udokumentowanie kwalifikacji odpowiednimi zaświadczeniami i certyfikatami</t>
  </si>
  <si>
    <t>Wyrównanie szans edukacyjnych i zmniejszenie dysproporcji w osiągnięciach edukacyjnych uczniów Zespołu Szkół Zawodowych nr 2 posiadających orzeczenia lub opinie poradni psychologiczno-pedagogicznej, poprzez wdrożenie autorskich zajęć dydaktyczno-wyrównawczych</t>
  </si>
  <si>
    <t>Zmniejszenie dysproporcji edukacyjnych w trakcie procesu kształcenia w zawodzie technik elektronik i technik elektryk w warunkach gospodarki rynkowej Unii Europejskiej wynikających z postępu współczesnej techniki, poprzez rozszerzenie oferty dydaktycznej o zagadnienia związane z uzupełnieniem zawodowej wiedzy merytorycznej i praktycznej, z umiejętnością zastosowania ICT, podniesieniem umiejętności językowych oraz znajomości zasad BHP i szczegółowych regulacji dla danego zawodu</t>
  </si>
  <si>
    <t>Ocena efektywności funkcjonowania UMP i mjo, sprawności struktur organizacyjnych, kwalifikacji kadr, obowiązujących procedur oraz zdolności do realizacji celów w perspektywie realizacji strategii rozwoju Miasta do 2030 r.</t>
  </si>
  <si>
    <t>Zapewnienie 16 absolwentom szkół specjalnych w Poznaniu wsparcia z zakresu poradnictwa psychologicznego, psychospołecznego i zawodowego oraz udział w życiu społeczno-ekonomicznym Miasta poprzez udział tych osób w warsztatach i szkoleniach, rehabilitacji integracji społecznej i doradztwie zawodowym</t>
  </si>
  <si>
    <t>EFS
PO KL
VIII / 8.2.1</t>
  </si>
  <si>
    <t>INFORMATYKA, NAUKA ORAZ WSPIERANIE ROZWOJU GOSPODARCZEGO MIASTA</t>
  </si>
  <si>
    <t>Rail Baltica Growth Corridor</t>
  </si>
  <si>
    <t>Zwiększenie transferu wiedzy i innowacji poprzez zacieśnienie współpracy pomiedzy jednostkami naukowymi i/lub naukowo-dydaktycznymi a podmiotami gospodarczymi działającymi na terenie województwa wielkopolskiego</t>
  </si>
  <si>
    <t>2. Pozostałe programy, projekty lub zadania</t>
  </si>
  <si>
    <t>1. Programy, projekty lub zadania związane z programami realizowanymi z udziałem środków zagranicznych</t>
  </si>
  <si>
    <t>4. Gwarancje i poręczenia udzielane przez jednostki samorządu terytorialnego</t>
  </si>
  <si>
    <t>Stworzenie Interaktywnego Centrum Historii Ostrowa Tumskiego wraz z kompleksową turystyczną infrastrukturą towarzyszącą</t>
  </si>
  <si>
    <t>EFRR
PO IG
II / 6.4</t>
  </si>
  <si>
    <t>Przeprowadzenie badań nad środowiskiem logistycznym we wschodniej części Regionu Morza Bałtyckiego i poglębienie współpracy w zakresie transportu i logistyki z partnerami krajowymi i zagranicznymi</t>
  </si>
  <si>
    <t>2011-2013</t>
  </si>
  <si>
    <t xml:space="preserve">PROGRAM REGIONU MORZA BAŁTYCKIEGO </t>
  </si>
  <si>
    <t>wkład własny poza umową</t>
  </si>
  <si>
    <t>DAPHNE III</t>
  </si>
  <si>
    <t>Wydział Zdrowia i Spraw Społecznych</t>
  </si>
  <si>
    <t>MOPR</t>
  </si>
  <si>
    <t>razem</t>
  </si>
  <si>
    <t>Propagowanie idei wzornictwa Wielkopolski jako produktu kulturalnego w kraju i za granicą</t>
  </si>
  <si>
    <t>2010-2015</t>
  </si>
  <si>
    <t>Bezprzewodowy Poznań</t>
  </si>
  <si>
    <t>Modernizacja szaletów publicznych</t>
  </si>
  <si>
    <t>Poprawa stanu sanitarno-porządkowego miasta</t>
  </si>
  <si>
    <t>Usługi Komunalne 
GKM/ZUK/348</t>
  </si>
  <si>
    <t>Budowa sieci automatycznych toalet na terenie miasta Poznania</t>
  </si>
  <si>
    <t>Usługi Komunalne
GKM/ZUK/474</t>
  </si>
  <si>
    <t>Zewnętrzny audyt organizacyjny w UMP</t>
  </si>
  <si>
    <t>BEZPIECZEŃSTWO MIESZKAŃCÓW</t>
  </si>
  <si>
    <t>SMMP</t>
  </si>
  <si>
    <t>GOSPODARKA PRZESTRZENNA ORAZ GOSPODAROWANIE NIERUCHOMOŚCIAMI</t>
  </si>
  <si>
    <t>Wzmocnienie atrakcyjnośći inwestycyjnej miasta poprzez podniesienie poziomu jakości usług świadczonych przez ZGiKM GEOPOZ</t>
  </si>
  <si>
    <t>ZGiKM GEOPOZ</t>
  </si>
  <si>
    <t>Utrzymanie czystości chodników jezdni oraz terenów zielonych</t>
  </si>
  <si>
    <t>Zimowe utrzymanie pasów drogowych</t>
  </si>
  <si>
    <t>Konserwacja zieleni w pasie drogowym</t>
  </si>
  <si>
    <t>Regulowanie opłat wynikających z ustaw o drogach oraz ubezpieczeniach</t>
  </si>
  <si>
    <t>Dozór obiektów</t>
  </si>
  <si>
    <t>Ochrona obiektów i parkomatow</t>
  </si>
  <si>
    <t>Oświetlenie ulic miasta</t>
  </si>
  <si>
    <t>Zakup energii elektrycznej do oświetlenia ulic oraz utrzymanie punktów swietlnych</t>
  </si>
  <si>
    <t xml:space="preserve">Organizacja konkursu o tytuł Poznańskiego Lidera Przedsiębiorczości </t>
  </si>
  <si>
    <t>Zwiększenie liczby podmiotów gospodarczych należących do sektora MSP, zmniejszenie bezrobocia</t>
  </si>
  <si>
    <t xml:space="preserve">Utrzymanie portalu WPI </t>
  </si>
  <si>
    <t>Wspieranieprojektów innowacyjnych oraz firm start-up/spin-off</t>
  </si>
  <si>
    <t>Merytoryczne wsparcie współpracy nauka-biznes</t>
  </si>
  <si>
    <t>Zarządzanie obiektami Urzędu Miasta</t>
  </si>
  <si>
    <t>Zapewnienie prawidłowego funkcjonowania obiektów Urzędu Miasta pod względem bezpieczeństwa użytkowania</t>
  </si>
  <si>
    <t>2011-2014</t>
  </si>
  <si>
    <t>Zaopatrzenie materiałowo-techniczne</t>
  </si>
  <si>
    <t>Zapewnienie odpowiednich dostaw materiałów i towarów niezbędnych do prawidłowego funkcjonowania Urzędu Miasta</t>
  </si>
  <si>
    <t>Zapewnienie obsługi transportowej w zakresie przewozu osób i towarów wymaganej do prawidłowego funkcjonowania Urzędu Miasta</t>
  </si>
  <si>
    <t>System drukowania i kopiowania</t>
  </si>
  <si>
    <t>2011-2015</t>
  </si>
  <si>
    <t>Budowa bezprzewodowej sieci szeroopasmowej komunikacji, w tym dostępu do Internetu, na użytek jednostek miasta, mieszkańców i przyjezdnych</t>
  </si>
  <si>
    <t>Urząd Miasta Poznania
GKM/GKM/461</t>
  </si>
  <si>
    <t>Program e-miasto</t>
  </si>
  <si>
    <t>Wysoki poziom obsługi interesantów</t>
  </si>
  <si>
    <t>Pomoc społeczna, w tym pomoc rodzinom i osobom w trudnej sytuacji życiowej oraz wyrównywanie szans tych rodzin i osób - Program współpracy z organizacjami pożytku publicznego</t>
  </si>
  <si>
    <t>Zapewnienie pomocy w optymalnym zakresie i formach osobom i rodzinom wymagających interwencji socjalnej</t>
  </si>
  <si>
    <t>Działania na rzecz osób niepełnosprawnych - Program współpracy z organizacjami pożytku publicznego</t>
  </si>
  <si>
    <t>Stworzenie/ ulepszanie systemu profilaktyki i ochrony małych dzieci w wieku do lat 5 przed krzywdzeniem i zaniedbywaniem dla miast partnerskich projektu - Poznania, Wilna, Londynu i Umea</t>
  </si>
  <si>
    <t>Badanie rocznego sprawozdania finansowego</t>
  </si>
  <si>
    <t>Wyrażenie przez biegłego rewidenta pisemnej opinii wraz z raportem o tym, czy sprawozdanie finansowe jest zgodne z zastosowanymi zasadami rachunkowości</t>
  </si>
  <si>
    <t>2012-2015</t>
  </si>
  <si>
    <t>Zapewnienie kontynuacji finansowania inwestycji realizowanej przez spółkę "Termy Maltańskie"</t>
  </si>
  <si>
    <t>2010-2031</t>
  </si>
  <si>
    <t>RÓŻNE ROZLICZENIA</t>
  </si>
  <si>
    <t>Dostawa druków komunikacyjnych</t>
  </si>
  <si>
    <t xml:space="preserve">Zapewnienie obsługi mieszkańców w zakresie rejestracji pojazdów oraz wydawania uprawnień do kierowania pojazdami </t>
  </si>
  <si>
    <t>2012-2014</t>
  </si>
  <si>
    <t>KULTURA FIZYCZNA, SPORT I TURYSTYKA</t>
  </si>
  <si>
    <t>Organizacja strefy kibica podczas UEFA EURO 2012</t>
  </si>
  <si>
    <t>Zwiększenie znaczenia miasta jako ośrodka wiedzy, kultury, turystyki i sportu</t>
  </si>
  <si>
    <t>Efektywne realizowanie zadań z zakresu gospodarowania nieruchomościami Miasta Poznań i Skarbu Państwa wynikających z ustawy o gospodarce nieruchomościami</t>
  </si>
  <si>
    <t>Usługi interwencyjnego porządkowania nieruchomości</t>
  </si>
  <si>
    <t xml:space="preserve"> Zapewnienie czystości i porządku na nieruchomościach Miasta Poznania</t>
  </si>
  <si>
    <t>Wyceny nieruchomości</t>
  </si>
  <si>
    <t>Zarządzanie nieruchomościami stanowiącymi własność Skarbu Państwa</t>
  </si>
  <si>
    <t>Efektywna realizacja zadania z zakresu administracji rządowej dotyczącego gospodarki nieruchomościami zabudowanymi Skarbu Państwa zgodnie z przepisami ustawy o gospodarce nieruchomościami</t>
  </si>
  <si>
    <t>Ochrona fizyczna osób i mienia na terenie połączonego kompleksu budynków biurowych 
w Poznaniu przy ul.Gronowej 20</t>
  </si>
  <si>
    <t>Jednostka organizacyjna /
nr zadania inwestycyjnego</t>
  </si>
  <si>
    <t>Obsługa transportowa Urzędu Miasta</t>
  </si>
  <si>
    <t>Zapewnienie drukowania i kopiowania w zakresie wykonywanych w Urzędzie Miasta zadań</t>
  </si>
  <si>
    <t>Zarząd Dróg Miejskich</t>
  </si>
  <si>
    <t xml:space="preserve">RAZEM </t>
  </si>
  <si>
    <t>RAZEM</t>
  </si>
  <si>
    <t>Poręczenie długu zaciąganego przez spółkę "Termy Maltańskie" w związku z realizacją inwestycji: Miejskie Centrum Rekreacji w Poznaniu</t>
  </si>
  <si>
    <t>Prawidłowa realizacja zadań wynikających z przepisów prawa</t>
  </si>
  <si>
    <t>Wspieranie projektów innowacyjnych oraz firm start-up/spin-off</t>
  </si>
  <si>
    <t>Budowa dwujezdniowej ul. Nowe Zawady - etap II - od ul. Głównej do ul. Podwale</t>
  </si>
  <si>
    <t>ITS - Inteligentne Systemy Transportowe</t>
  </si>
  <si>
    <t>Przebudowa wiaduktu Górczyńskiego wschodniego z ul. Ściegiennego</t>
  </si>
  <si>
    <t>Odnowa infrastruktury transportu publicznego w związku z organizacją EURO 2012 w Poznaniu - etap I, etap II</t>
  </si>
  <si>
    <t xml:space="preserve">Przedłużenie trasy Poznańskiego Szybkiego Tramwaju (PST) do Dworca Zachodniego w Poznaniu </t>
  </si>
  <si>
    <t>Budowa trasy tramwajowej os. Lecha - Franowo w Poznaniu</t>
  </si>
  <si>
    <t xml:space="preserve">Przebudowa ul. Bukowskiej w Poznaniu (DW 307) na odcinku od planowanego skrzyżowania z III ramą komunikacyjną (ul. Prosta) do granicy miasta </t>
  </si>
  <si>
    <t>Przebudowa węzła komunikacyjnego Rondo Kaponiera</t>
  </si>
  <si>
    <t>System Gospodarki Odpadami dla Miasta Poznania</t>
  </si>
  <si>
    <t>Centrum Urazowe przy ul. Szwajcarskiej 3 w Poznaniu - adaptacja pomieszczeń, zakup wyposażenia, budowa niezbędnej infrastruktury, w tym lądowiska dla śmigłowców</t>
  </si>
  <si>
    <t>ZSS/ZOZ/397</t>
  </si>
  <si>
    <t>Poznańska Elektroniczna Karta Aglomeracyjna</t>
  </si>
  <si>
    <t>Redukcja ilości składowanych odpadów komunalnych poprzez stworzenie systemu gospodarki odpadami w mieście Poznaniu</t>
  </si>
  <si>
    <t>EFRR
PO IŚ
II / 2.1</t>
  </si>
  <si>
    <t>2008-2014</t>
  </si>
  <si>
    <t>Urząd Miasta Poznania
GKM/GKM/276</t>
  </si>
  <si>
    <t>Poprawa sprawności systemu komunikacji publicznej w Poznaniu, co przyczyni się do polepszenia obsługi pasażerskiej związanej z EURO 2012</t>
  </si>
  <si>
    <t>Poprawa jakości układu komunikacyjnego</t>
  </si>
  <si>
    <t>EFRR
PO IŚ
VII / 7.3</t>
  </si>
  <si>
    <t>Wprowadzenie wielofunkcyjnej, procesorowej karty miejskiej dla mieszkańców Poznania i regionu</t>
  </si>
  <si>
    <t>2008-2012</t>
  </si>
  <si>
    <t>EFRR
WRPO
II / 2.7</t>
  </si>
  <si>
    <t>Zarząd Transportu Miejskiego
GKM/ZTM/472</t>
  </si>
  <si>
    <t>Zarząd Transportu Miejskiego
GKM/ZTM/410</t>
  </si>
  <si>
    <t>Zarząd Transportu Miejskiego GKM/ZTM/414</t>
  </si>
  <si>
    <t>Zarząd Transportu Miejskiego
GKM/ZTM/1083</t>
  </si>
  <si>
    <t>Zarząd Dróg Miejskich
GKM/ZDM/1902</t>
  </si>
  <si>
    <t>Zarząd Dróg Miejskich
GKM/ZDM/3301</t>
  </si>
  <si>
    <t>Zarząd Dróg Miejskich
GKM/ZDM/370</t>
  </si>
  <si>
    <t>Zarząd Dróg Miejskich
GKM/ZDM/25</t>
  </si>
  <si>
    <t>Zarząd Dróg Miejskich
GKM/ZDM/376</t>
  </si>
  <si>
    <t>EFRR
WRPO
II / 2.5</t>
  </si>
  <si>
    <t>Poprawa płynności ruchu i skrócenie przejazdu w ruchu tranzytowym na drogach krajowych w sieci TEN-T oraz zwiększenie przepustowości i nośności do  115 KN/oś</t>
  </si>
  <si>
    <t>EFRR
PO IŚ
VI / 6.1</t>
  </si>
  <si>
    <t>Poprawa jakości i bezpieczeństwa układu drogowego Miasta Poznania oraz poprawa dostepności do regionalnej i ponadregionalnej sieci drogowej</t>
  </si>
  <si>
    <t>EFRR
WRPO
II / 2.2</t>
  </si>
  <si>
    <t>Włączenie do układu centralnego sterowania z preferencją komunikacji zbiorowej, usprawnienie obsługi komunikacyjnej miasta; poprawa warunków i
bezpieczeństwa ruchu</t>
  </si>
  <si>
    <t>Modernizacja budynku dla Domu Dziecka nr 2 przy ul. Pamiątkowej - standaryzacja</t>
  </si>
  <si>
    <t>2006-2011</t>
  </si>
  <si>
    <t>Modernizacja dachu budynku szpitala im. Fr. Raszei przy ul. Mickiewicza - ZOZ Poznań Jeżyce</t>
  </si>
  <si>
    <t>2005-2011</t>
  </si>
  <si>
    <t>Budowa Szpitala Zakaźnego w Poznaniu</t>
  </si>
  <si>
    <t>Utworzenie i wyposażenie domu pomocy społecznej przy ul. Zamenhofa</t>
  </si>
  <si>
    <t>Modernizacja instalacji wykrywającej pożar w szpitalu im. F. Raszei przy ul. Mickiewicza - ZOZ Poznań Jeżyce</t>
  </si>
  <si>
    <t>RADY MIASTA POZNANIA</t>
  </si>
  <si>
    <t>WYKAZ PRZEDSIĘWZIĘĆ WIELOLETNICH</t>
  </si>
  <si>
    <t xml:space="preserve">Budowa połączeń teletransmisyjnych jednostek miasta </t>
  </si>
  <si>
    <t>Urząd Miasta Poznania
GKM/GKM/439</t>
  </si>
  <si>
    <t xml:space="preserve">Wkład pieniężny w celu dokapitalizowania spółki Port Lotniczy "Ławica" Sp. z o.o. - rozbudowa infrastruktury portu </t>
  </si>
  <si>
    <t>Urząd Miasta Poznania
NW/NW/1080</t>
  </si>
  <si>
    <t>Budowa wiaduktu nad torami PKP w ciągu ul. Grunwaldzkiej na Junikowie - projekt</t>
  </si>
  <si>
    <t>Zarząd Dróg Miejskich
GKM/ZDM/3421</t>
  </si>
  <si>
    <t xml:space="preserve">Budowa wiaduktu nad torami PKP   </t>
  </si>
  <si>
    <t>Rozbudowa infrastruktury portu w celu zwiększenia jego przepustowości, zwiększenie bezpieczeństwa ruchu lotniczego i pasażerskiego, ograniczenie niekorzystnego wpływu lotniska na środowisko naturalne</t>
  </si>
  <si>
    <t>zał. 1</t>
  </si>
  <si>
    <t>zał. 2</t>
  </si>
  <si>
    <t>zał. 3</t>
  </si>
  <si>
    <t>zał. 4</t>
  </si>
  <si>
    <t>Zapewnienie jednostkom miejskim dostępu do miejskich zasobów informacyjnych oraz szerokopasmowego Internetu</t>
  </si>
  <si>
    <t>Konserwacja rowów, cieków, zbiorników wodnych oraz małej retencji i budowli hydrotechnicznych</t>
  </si>
  <si>
    <t>Przywracanie czystości cieków wodnych na terenie miasta</t>
  </si>
  <si>
    <t>w.bież.</t>
  </si>
  <si>
    <t>Konserwacja wałów przeciwpowodziowych m. Poznania oraz międzywala rzeki Warty</t>
  </si>
  <si>
    <t>Utrzymywanie wałów przeciwpowodziowych w stanie umożliwiającym zabezpieczenie przed powodzią</t>
  </si>
  <si>
    <t>Doposażenie sal Intensywnego Nadzoru na Oddziale Toksykologii szpitala im. F. Raszei przy ul.  Mickiewicza - ZOZ Poznań Jeżyce</t>
  </si>
  <si>
    <t>Budowa Zachodniego Centrum Chorób Serca i Naczyń w Poznaniu - partycypacja Miasta w kosztach budowy</t>
  </si>
  <si>
    <t>Realizacja Uchwały nr LIV/716/V/2009 Rady Miasta Poznania z dnia 12 maja 2009r.</t>
  </si>
  <si>
    <t>PODSUMOWANIE</t>
  </si>
  <si>
    <t>lata</t>
  </si>
  <si>
    <t>Wykonanie Rozporządzenia Ministra Zdrowia z dnia 10 listopada 2006 r. w sprawie wymagań, jakim powiny odpowiadać pod względem fachowym i sanitarnym pomieszczenia i urządzenia zakładu opieki zdrowotnej (Dz.U.06.213.1568)</t>
  </si>
  <si>
    <t xml:space="preserve">Wykonanie Rozporządzenia Ministra Polityki Społecznej z dnia 19 października 2005 r. w sprawie domów pomocy społecznej 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</si>
</sst>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00"/>
    <numFmt numFmtId="166" formatCode="#,##0.0"/>
    <numFmt numFmtId="167" formatCode="&quot;$&quot;#,##0;[Red]\-&quot;$&quot;#,##0"/>
    <numFmt numFmtId="168" formatCode="&quot;$&quot;#,##0.00;[Red]\-&quot;$&quot;#,##0.00"/>
    <numFmt numFmtId="169" formatCode="_-* #,##0.00_-;\-* #,##0.00_-;_-* &quot;-&quot;??_-;_-@_-"/>
    <numFmt numFmtId="170" formatCode="0.00_)"/>
    <numFmt numFmtId="171" formatCode="mmm\.yy"/>
    <numFmt numFmtId="172" formatCode="_-* #,##0\ _z_ł_-;\-* #,##0\ _z_ł_-;_-* &quot;-&quot;??\ _z_ł_-;_-@_-"/>
    <numFmt numFmtId="173" formatCode="0.0000"/>
    <numFmt numFmtId="174" formatCode="0.000"/>
    <numFmt numFmtId="175" formatCode="0.0%"/>
    <numFmt numFmtId="176" formatCode="d\.m\.yy"/>
    <numFmt numFmtId="177" formatCode="0.0"/>
    <numFmt numFmtId="178" formatCode="0.000%"/>
    <numFmt numFmtId="179" formatCode="_-* #,##0.0\ _z_ł_-;\-* #,##0.0\ _z_ł_-;_-* &quot;-&quot;?\ _z_ł_-;_-@_-"/>
    <numFmt numFmtId="180" formatCode="#,##0.00000000"/>
    <numFmt numFmtId="181" formatCode="#,##0.00_ ;\-#,##0.00\ "/>
    <numFmt numFmtId="182" formatCode="#,##0&quot; zł.&quot;;\-#,##0&quot; zł.&quot;"/>
    <numFmt numFmtId="183" formatCode="#,##0&quot; zł.&quot;;[Red]\-#,##0&quot; zł.&quot;"/>
    <numFmt numFmtId="184" formatCode="#,##0.00&quot; zł.&quot;;\-#,##0.00&quot; zł.&quot;"/>
    <numFmt numFmtId="185" formatCode="#,##0.00&quot; zł.&quot;;[Red]\-#,##0.00&quot; zł.&quot;"/>
    <numFmt numFmtId="186" formatCode="_-* #,##0&quot; zł.&quot;_-;\-* #,##0&quot; zł.&quot;_-;_-* &quot;-&quot;&quot; zł.&quot;_-;_-@_-"/>
    <numFmt numFmtId="187" formatCode="_-* #,##0_ _z_ł_._-;\-* #,##0_ _z_ł_._-;_-* &quot;-&quot;_ _z_ł_._-;_-@_-"/>
    <numFmt numFmtId="188" formatCode="_-* #,##0.00&quot; zł.&quot;_-;\-* #,##0.00&quot; zł.&quot;_-;_-* &quot;-&quot;??&quot; zł.&quot;_-;_-@_-"/>
    <numFmt numFmtId="189" formatCode="_-* #,##0.00_ _z_ł_._-;\-* #,##0.00_ _z_ł_._-;_-* &quot;-&quot;??_ _z_ł_._-;_-@_-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#,##0.00000"/>
    <numFmt numFmtId="197" formatCode="#,##0.000000"/>
    <numFmt numFmtId="198" formatCode="#,##0.0000000"/>
    <numFmt numFmtId="199" formatCode="_-* #,##0.0\ _z_ł_-;\-* #,##0.0\ _z_ł_-;_-* &quot;-&quot;??\ _z_ł_-;_-@_-"/>
  </numFmts>
  <fonts count="5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8"/>
      <name val="Arial"/>
      <family val="2"/>
    </font>
    <font>
      <u val="single"/>
      <sz val="7.5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i/>
      <sz val="16"/>
      <name val="Helv"/>
      <family val="0"/>
    </font>
    <font>
      <sz val="10"/>
      <name val="Times New Roman"/>
      <family val="0"/>
    </font>
    <font>
      <b/>
      <sz val="11"/>
      <color indexed="52"/>
      <name val="Czcionka tekstu podstawowego"/>
      <family val="2"/>
    </font>
    <font>
      <u val="single"/>
      <sz val="7.5"/>
      <color indexed="36"/>
      <name val="Arial CE"/>
      <family val="0"/>
    </font>
    <font>
      <sz val="1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0"/>
    </font>
    <font>
      <sz val="11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i/>
      <sz val="10"/>
      <name val="Arial CE"/>
      <family val="0"/>
    </font>
    <font>
      <i/>
      <sz val="9"/>
      <name val="Arial CE"/>
      <family val="0"/>
    </font>
    <font>
      <b/>
      <i/>
      <sz val="11"/>
      <name val="Arial CE"/>
      <family val="0"/>
    </font>
    <font>
      <b/>
      <i/>
      <sz val="10"/>
      <name val="Arial CE"/>
      <family val="0"/>
    </font>
    <font>
      <b/>
      <i/>
      <sz val="12"/>
      <name val="Arial CE"/>
      <family val="0"/>
    </font>
    <font>
      <b/>
      <i/>
      <sz val="10"/>
      <name val="Arial"/>
      <family val="0"/>
    </font>
    <font>
      <b/>
      <sz val="14"/>
      <name val="Arial CE"/>
      <family val="0"/>
    </font>
    <font>
      <sz val="12"/>
      <name val="Arial"/>
      <family val="0"/>
    </font>
    <font>
      <b/>
      <sz val="12"/>
      <name val="Arial"/>
      <family val="0"/>
    </font>
    <font>
      <i/>
      <sz val="10"/>
      <name val="Arial"/>
      <family val="0"/>
    </font>
    <font>
      <i/>
      <sz val="11"/>
      <name val="Arial CE"/>
      <family val="0"/>
    </font>
    <font>
      <sz val="9"/>
      <name val="Arial"/>
      <family val="0"/>
    </font>
    <font>
      <b/>
      <sz val="11"/>
      <name val="Arial CE"/>
      <family val="0"/>
    </font>
    <font>
      <sz val="14"/>
      <name val="Arial CE"/>
      <family val="0"/>
    </font>
    <font>
      <sz val="14"/>
      <name val="Arial"/>
      <family val="0"/>
    </font>
    <font>
      <b/>
      <sz val="14"/>
      <name val="Arial"/>
      <family val="0"/>
    </font>
    <font>
      <i/>
      <sz val="8"/>
      <name val="Arial CE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Times New Roman"/>
      <family val="1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6" fillId="20" borderId="0" applyNumberFormat="0" applyBorder="0" applyAlignment="0" applyProtection="0"/>
    <xf numFmtId="0" fontId="7" fillId="0" borderId="0" applyNumberFormat="0" applyFill="0" applyBorder="0" applyAlignment="0" applyProtection="0"/>
    <xf numFmtId="10" fontId="6" fillId="21" borderId="3" applyNumberFormat="0" applyBorder="0" applyAlignment="0" applyProtection="0"/>
    <xf numFmtId="0" fontId="8" fillId="0" borderId="4" applyNumberFormat="0" applyFill="0" applyAlignment="0" applyProtection="0"/>
    <xf numFmtId="0" fontId="9" fillId="22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17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171" fontId="18" fillId="0" borderId="0">
      <alignment horizontal="left"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2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8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Alignment="1">
      <alignment/>
    </xf>
    <xf numFmtId="0" fontId="25" fillId="0" borderId="11" xfId="57" applyFont="1" applyFill="1" applyBorder="1" applyAlignment="1">
      <alignment horizontal="center" vertical="center" wrapText="1"/>
      <protection/>
    </xf>
    <xf numFmtId="0" fontId="18" fillId="0" borderId="12" xfId="57" applyFont="1" applyBorder="1" applyAlignment="1">
      <alignment horizontal="center" vertical="center" wrapText="1"/>
      <protection/>
    </xf>
    <xf numFmtId="1" fontId="18" fillId="0" borderId="13" xfId="57" applyNumberFormat="1" applyFont="1" applyBorder="1" applyAlignment="1">
      <alignment horizontal="center" vertical="center" wrapText="1"/>
      <protection/>
    </xf>
    <xf numFmtId="1" fontId="18" fillId="0" borderId="14" xfId="57" applyNumberFormat="1" applyFont="1" applyBorder="1" applyAlignment="1">
      <alignment horizontal="center" vertical="center"/>
      <protection/>
    </xf>
    <xf numFmtId="3" fontId="30" fillId="0" borderId="15" xfId="57" applyNumberFormat="1" applyFont="1" applyBorder="1" applyAlignment="1">
      <alignment vertical="center"/>
      <protection/>
    </xf>
    <xf numFmtId="3" fontId="30" fillId="0" borderId="16" xfId="57" applyNumberFormat="1" applyFont="1" applyBorder="1" applyAlignment="1">
      <alignment vertical="center"/>
      <protection/>
    </xf>
    <xf numFmtId="3" fontId="30" fillId="0" borderId="17" xfId="57" applyNumberFormat="1" applyFont="1" applyBorder="1" applyAlignment="1">
      <alignment vertical="center"/>
      <protection/>
    </xf>
    <xf numFmtId="3" fontId="30" fillId="0" borderId="18" xfId="57" applyNumberFormat="1" applyFont="1" applyBorder="1" applyAlignment="1">
      <alignment vertical="center"/>
      <protection/>
    </xf>
    <xf numFmtId="0" fontId="34" fillId="0" borderId="0" xfId="0" applyFont="1" applyAlignment="1">
      <alignment/>
    </xf>
    <xf numFmtId="0" fontId="34" fillId="0" borderId="19" xfId="57" applyFont="1" applyBorder="1" applyAlignment="1">
      <alignment horizontal="center" vertical="center" wrapText="1"/>
      <protection/>
    </xf>
    <xf numFmtId="3" fontId="32" fillId="0" borderId="20" xfId="57" applyNumberFormat="1" applyFont="1" applyBorder="1" applyAlignment="1">
      <alignment vertical="center"/>
      <protection/>
    </xf>
    <xf numFmtId="0" fontId="34" fillId="0" borderId="19" xfId="57" applyFont="1" applyBorder="1" applyAlignment="1">
      <alignment horizontal="center" vertical="center" wrapText="1"/>
      <protection/>
    </xf>
    <xf numFmtId="3" fontId="32" fillId="0" borderId="18" xfId="57" applyNumberFormat="1" applyFont="1" applyBorder="1" applyAlignment="1">
      <alignment vertical="center"/>
      <protection/>
    </xf>
    <xf numFmtId="3" fontId="32" fillId="0" borderId="3" xfId="57" applyNumberFormat="1" applyFont="1" applyBorder="1" applyAlignment="1">
      <alignment vertical="center"/>
      <protection/>
    </xf>
    <xf numFmtId="0" fontId="34" fillId="0" borderId="0" xfId="0" applyFont="1" applyBorder="1" applyAlignment="1">
      <alignment/>
    </xf>
    <xf numFmtId="0" fontId="34" fillId="0" borderId="21" xfId="57" applyFont="1" applyBorder="1" applyAlignment="1">
      <alignment horizontal="center" vertical="center" wrapText="1"/>
      <protection/>
    </xf>
    <xf numFmtId="3" fontId="32" fillId="0" borderId="22" xfId="57" applyNumberFormat="1" applyFont="1" applyBorder="1" applyAlignment="1">
      <alignment vertical="center"/>
      <protection/>
    </xf>
    <xf numFmtId="3" fontId="32" fillId="0" borderId="23" xfId="57" applyNumberFormat="1" applyFont="1" applyBorder="1" applyAlignment="1">
      <alignment vertical="center"/>
      <protection/>
    </xf>
    <xf numFmtId="0" fontId="34" fillId="0" borderId="24" xfId="0" applyFont="1" applyBorder="1" applyAlignment="1">
      <alignment/>
    </xf>
    <xf numFmtId="3" fontId="30" fillId="0" borderId="20" xfId="57" applyNumberFormat="1" applyFont="1" applyBorder="1" applyAlignment="1">
      <alignment vertical="center"/>
      <protection/>
    </xf>
    <xf numFmtId="3" fontId="30" fillId="0" borderId="25" xfId="57" applyNumberFormat="1" applyFont="1" applyBorder="1" applyAlignment="1">
      <alignment vertical="center"/>
      <protection/>
    </xf>
    <xf numFmtId="3" fontId="32" fillId="0" borderId="26" xfId="57" applyNumberFormat="1" applyFont="1" applyBorder="1" applyAlignment="1">
      <alignment vertical="center"/>
      <protection/>
    </xf>
    <xf numFmtId="3" fontId="32" fillId="0" borderId="27" xfId="57" applyNumberFormat="1" applyFont="1" applyBorder="1" applyAlignment="1">
      <alignment vertical="center"/>
      <protection/>
    </xf>
    <xf numFmtId="3" fontId="30" fillId="0" borderId="28" xfId="57" applyNumberFormat="1" applyFont="1" applyBorder="1" applyAlignment="1">
      <alignment vertical="center"/>
      <protection/>
    </xf>
    <xf numFmtId="3" fontId="30" fillId="0" borderId="29" xfId="57" applyNumberFormat="1" applyFont="1" applyBorder="1" applyAlignment="1">
      <alignment vertical="center"/>
      <protection/>
    </xf>
    <xf numFmtId="3" fontId="30" fillId="0" borderId="26" xfId="57" applyNumberFormat="1" applyFont="1" applyBorder="1" applyAlignment="1">
      <alignment vertical="center"/>
      <protection/>
    </xf>
    <xf numFmtId="3" fontId="30" fillId="0" borderId="30" xfId="57" applyNumberFormat="1" applyFont="1" applyBorder="1" applyAlignment="1">
      <alignment vertical="center"/>
      <protection/>
    </xf>
    <xf numFmtId="3" fontId="30" fillId="0" borderId="27" xfId="57" applyNumberFormat="1" applyFont="1" applyBorder="1" applyAlignment="1">
      <alignment vertical="center"/>
      <protection/>
    </xf>
    <xf numFmtId="0" fontId="36" fillId="0" borderId="0" xfId="0" applyFont="1" applyAlignment="1">
      <alignment/>
    </xf>
    <xf numFmtId="3" fontId="29" fillId="0" borderId="18" xfId="57" applyNumberFormat="1" applyFont="1" applyBorder="1" applyAlignment="1">
      <alignment vertical="center"/>
      <protection/>
    </xf>
    <xf numFmtId="0" fontId="36" fillId="0" borderId="0" xfId="0" applyFont="1" applyBorder="1" applyAlignment="1">
      <alignment/>
    </xf>
    <xf numFmtId="3" fontId="29" fillId="0" borderId="17" xfId="57" applyNumberFormat="1" applyFont="1" applyBorder="1" applyAlignment="1">
      <alignment vertical="center"/>
      <protection/>
    </xf>
    <xf numFmtId="0" fontId="36" fillId="0" borderId="24" xfId="0" applyFont="1" applyBorder="1" applyAlignment="1">
      <alignment/>
    </xf>
    <xf numFmtId="0" fontId="36" fillId="0" borderId="0" xfId="0" applyFont="1" applyFill="1" applyAlignment="1">
      <alignment/>
    </xf>
    <xf numFmtId="3" fontId="3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9" fillId="0" borderId="19" xfId="57" applyFont="1" applyBorder="1" applyAlignment="1">
      <alignment horizontal="center" vertical="center" wrapText="1"/>
      <protection/>
    </xf>
    <xf numFmtId="1" fontId="18" fillId="0" borderId="25" xfId="57" applyNumberFormat="1" applyFont="1" applyBorder="1" applyAlignment="1">
      <alignment horizontal="center" vertical="center"/>
      <protection/>
    </xf>
    <xf numFmtId="0" fontId="39" fillId="0" borderId="11" xfId="57" applyFont="1" applyFill="1" applyBorder="1" applyAlignment="1">
      <alignment vertical="center" wrapText="1"/>
      <protection/>
    </xf>
    <xf numFmtId="3" fontId="30" fillId="0" borderId="15" xfId="57" applyNumberFormat="1" applyFont="1" applyFill="1" applyBorder="1" applyAlignment="1">
      <alignment vertical="center"/>
      <protection/>
    </xf>
    <xf numFmtId="3" fontId="30" fillId="0" borderId="16" xfId="57" applyNumberFormat="1" applyFont="1" applyFill="1" applyBorder="1" applyAlignment="1">
      <alignment vertical="center"/>
      <protection/>
    </xf>
    <xf numFmtId="3" fontId="30" fillId="0" borderId="17" xfId="57" applyNumberFormat="1" applyFont="1" applyFill="1" applyBorder="1" applyAlignment="1">
      <alignment vertical="center"/>
      <protection/>
    </xf>
    <xf numFmtId="3" fontId="30" fillId="0" borderId="18" xfId="57" applyNumberFormat="1" applyFont="1" applyFill="1" applyBorder="1" applyAlignment="1">
      <alignment vertical="center"/>
      <protection/>
    </xf>
    <xf numFmtId="3" fontId="30" fillId="0" borderId="3" xfId="57" applyNumberFormat="1" applyFont="1" applyBorder="1" applyAlignment="1">
      <alignment vertical="center"/>
      <protection/>
    </xf>
    <xf numFmtId="3" fontId="30" fillId="0" borderId="31" xfId="57" applyNumberFormat="1" applyFont="1" applyBorder="1" applyAlignment="1">
      <alignment vertical="center"/>
      <protection/>
    </xf>
    <xf numFmtId="3" fontId="30" fillId="0" borderId="32" xfId="57" applyNumberFormat="1" applyFont="1" applyBorder="1" applyAlignment="1">
      <alignment vertical="center"/>
      <protection/>
    </xf>
    <xf numFmtId="3" fontId="30" fillId="0" borderId="20" xfId="57" applyNumberFormat="1" applyFont="1" applyFill="1" applyBorder="1" applyAlignment="1">
      <alignment vertical="center"/>
      <protection/>
    </xf>
    <xf numFmtId="3" fontId="25" fillId="0" borderId="12" xfId="57" applyNumberFormat="1" applyFont="1" applyBorder="1" applyAlignment="1">
      <alignment horizontal="center" vertical="center" wrapText="1"/>
      <protection/>
    </xf>
    <xf numFmtId="0" fontId="18" fillId="0" borderId="33" xfId="57" applyFont="1" applyBorder="1" applyAlignment="1">
      <alignment horizontal="center" vertical="center" wrapText="1"/>
      <protection/>
    </xf>
    <xf numFmtId="4" fontId="26" fillId="0" borderId="12" xfId="57" applyNumberFormat="1" applyFont="1" applyBorder="1" applyAlignment="1">
      <alignment horizontal="center" vertical="center" wrapText="1"/>
      <protection/>
    </xf>
    <xf numFmtId="4" fontId="26" fillId="0" borderId="34" xfId="57" applyNumberFormat="1" applyFont="1" applyBorder="1" applyAlignment="1">
      <alignment horizontal="center" vertical="center" wrapText="1"/>
      <protection/>
    </xf>
    <xf numFmtId="0" fontId="26" fillId="0" borderId="34" xfId="57" applyFont="1" applyFill="1" applyBorder="1" applyAlignment="1">
      <alignment horizontal="center" vertical="center" wrapText="1"/>
      <protection/>
    </xf>
    <xf numFmtId="3" fontId="29" fillId="0" borderId="35" xfId="57" applyNumberFormat="1" applyFont="1" applyBorder="1" applyAlignment="1">
      <alignment vertical="center"/>
      <protection/>
    </xf>
    <xf numFmtId="3" fontId="29" fillId="0" borderId="36" xfId="57" applyNumberFormat="1" applyFont="1" applyBorder="1" applyAlignment="1">
      <alignment vertical="center"/>
      <protection/>
    </xf>
    <xf numFmtId="3" fontId="29" fillId="0" borderId="37" xfId="57" applyNumberFormat="1" applyFont="1" applyBorder="1" applyAlignment="1">
      <alignment vertical="center"/>
      <protection/>
    </xf>
    <xf numFmtId="3" fontId="29" fillId="0" borderId="23" xfId="57" applyNumberFormat="1" applyFont="1" applyBorder="1" applyAlignment="1">
      <alignment vertical="center"/>
      <protection/>
    </xf>
    <xf numFmtId="0" fontId="29" fillId="0" borderId="19" xfId="57" applyFont="1" applyFill="1" applyBorder="1" applyAlignment="1">
      <alignment horizontal="center" vertical="center" wrapText="1"/>
      <protection/>
    </xf>
    <xf numFmtId="1" fontId="26" fillId="0" borderId="33" xfId="57" applyNumberFormat="1" applyFont="1" applyBorder="1" applyAlignment="1">
      <alignment horizontal="center" vertical="center"/>
      <protection/>
    </xf>
    <xf numFmtId="3" fontId="29" fillId="0" borderId="38" xfId="57" applyNumberFormat="1" applyFont="1" applyFill="1" applyBorder="1" applyAlignment="1">
      <alignment vertical="center" wrapText="1"/>
      <protection/>
    </xf>
    <xf numFmtId="3" fontId="25" fillId="0" borderId="11" xfId="57" applyNumberFormat="1" applyFont="1" applyFill="1" applyBorder="1" applyAlignment="1">
      <alignment horizontal="center" vertical="center" wrapText="1"/>
      <protection/>
    </xf>
    <xf numFmtId="3" fontId="27" fillId="0" borderId="34" xfId="57" applyNumberFormat="1" applyFont="1" applyFill="1" applyBorder="1" applyAlignment="1">
      <alignment horizontal="center" vertical="center" wrapText="1"/>
      <protection/>
    </xf>
    <xf numFmtId="3" fontId="39" fillId="0" borderId="11" xfId="57" applyNumberFormat="1" applyFont="1" applyFill="1" applyBorder="1" applyAlignment="1">
      <alignment vertical="center" wrapText="1"/>
      <protection/>
    </xf>
    <xf numFmtId="3" fontId="27" fillId="0" borderId="12" xfId="57" applyNumberFormat="1" applyFont="1" applyFill="1" applyBorder="1" applyAlignment="1">
      <alignment horizontal="center" vertical="center" wrapText="1"/>
      <protection/>
    </xf>
    <xf numFmtId="3" fontId="27" fillId="0" borderId="11" xfId="57" applyNumberFormat="1" applyFont="1" applyFill="1" applyBorder="1" applyAlignment="1">
      <alignment horizontal="center" vertical="center" wrapText="1"/>
      <protection/>
    </xf>
    <xf numFmtId="3" fontId="25" fillId="0" borderId="11" xfId="57" applyNumberFormat="1" applyFont="1" applyBorder="1" applyAlignment="1">
      <alignment horizontal="center" vertical="center" wrapText="1"/>
      <protection/>
    </xf>
    <xf numFmtId="0" fontId="18" fillId="0" borderId="13" xfId="57" applyNumberFormat="1" applyFont="1" applyBorder="1" applyAlignment="1">
      <alignment horizontal="center" vertical="center" wrapText="1"/>
      <protection/>
    </xf>
    <xf numFmtId="0" fontId="18" fillId="0" borderId="14" xfId="57" applyNumberFormat="1" applyFont="1" applyBorder="1" applyAlignment="1">
      <alignment horizontal="center" vertical="center"/>
      <protection/>
    </xf>
    <xf numFmtId="0" fontId="18" fillId="0" borderId="25" xfId="57" applyNumberFormat="1" applyFont="1" applyBorder="1" applyAlignment="1">
      <alignment horizontal="center" vertical="center"/>
      <protection/>
    </xf>
    <xf numFmtId="0" fontId="18" fillId="23" borderId="39" xfId="57" applyFont="1" applyFill="1" applyBorder="1" applyAlignment="1">
      <alignment horizontal="center" vertical="center" wrapText="1"/>
      <protection/>
    </xf>
    <xf numFmtId="1" fontId="26" fillId="0" borderId="40" xfId="57" applyNumberFormat="1" applyFont="1" applyBorder="1" applyAlignment="1">
      <alignment vertical="center"/>
      <protection/>
    </xf>
    <xf numFmtId="1" fontId="18" fillId="0" borderId="3" xfId="57" applyNumberFormat="1" applyFont="1" applyBorder="1" applyAlignment="1">
      <alignment horizontal="center" vertical="center"/>
      <protection/>
    </xf>
    <xf numFmtId="1" fontId="18" fillId="0" borderId="26" xfId="57" applyNumberFormat="1" applyFont="1" applyBorder="1" applyAlignment="1">
      <alignment horizontal="center" vertical="center"/>
      <protection/>
    </xf>
    <xf numFmtId="1" fontId="18" fillId="0" borderId="27" xfId="57" applyNumberFormat="1" applyFont="1" applyBorder="1" applyAlignment="1">
      <alignment horizontal="center" vertical="center"/>
      <protection/>
    </xf>
    <xf numFmtId="3" fontId="0" fillId="0" borderId="37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1" fontId="18" fillId="0" borderId="28" xfId="57" applyNumberFormat="1" applyFont="1" applyBorder="1" applyAlignment="1">
      <alignment horizontal="center" vertical="center"/>
      <protection/>
    </xf>
    <xf numFmtId="1" fontId="18" fillId="0" borderId="31" xfId="57" applyNumberFormat="1" applyFont="1" applyBorder="1" applyAlignment="1">
      <alignment horizontal="center" vertical="center"/>
      <protection/>
    </xf>
    <xf numFmtId="1" fontId="18" fillId="0" borderId="32" xfId="57" applyNumberFormat="1" applyFont="1" applyBorder="1" applyAlignment="1">
      <alignment horizontal="center" vertical="center"/>
      <protection/>
    </xf>
    <xf numFmtId="1" fontId="18" fillId="23" borderId="39" xfId="57" applyNumberFormat="1" applyFont="1" applyFill="1" applyBorder="1" applyAlignment="1">
      <alignment horizontal="center" vertical="center"/>
      <protection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23" borderId="44" xfId="0" applyFont="1" applyFill="1" applyBorder="1" applyAlignment="1">
      <alignment/>
    </xf>
    <xf numFmtId="3" fontId="41" fillId="0" borderId="3" xfId="57" applyNumberFormat="1" applyFont="1" applyBorder="1" applyAlignment="1">
      <alignment vertical="center"/>
      <protection/>
    </xf>
    <xf numFmtId="3" fontId="41" fillId="0" borderId="20" xfId="57" applyNumberFormat="1" applyFont="1" applyBorder="1" applyAlignment="1">
      <alignment vertical="center"/>
      <protection/>
    </xf>
    <xf numFmtId="3" fontId="41" fillId="0" borderId="14" xfId="57" applyNumberFormat="1" applyFont="1" applyBorder="1" applyAlignment="1">
      <alignment vertical="center"/>
      <protection/>
    </xf>
    <xf numFmtId="3" fontId="41" fillId="0" borderId="18" xfId="57" applyNumberFormat="1" applyFont="1" applyBorder="1" applyAlignment="1">
      <alignment vertical="center"/>
      <protection/>
    </xf>
    <xf numFmtId="3" fontId="41" fillId="0" borderId="23" xfId="57" applyNumberFormat="1" applyFont="1" applyBorder="1" applyAlignment="1">
      <alignment vertical="center"/>
      <protection/>
    </xf>
    <xf numFmtId="3" fontId="25" fillId="0" borderId="15" xfId="57" applyNumberFormat="1" applyFont="1" applyBorder="1" applyAlignment="1">
      <alignment vertical="center"/>
      <protection/>
    </xf>
    <xf numFmtId="3" fontId="25" fillId="0" borderId="45" xfId="57" applyNumberFormat="1" applyFont="1" applyBorder="1" applyAlignment="1">
      <alignment vertical="center"/>
      <protection/>
    </xf>
    <xf numFmtId="3" fontId="25" fillId="0" borderId="26" xfId="57" applyNumberFormat="1" applyFont="1" applyBorder="1" applyAlignment="1">
      <alignment vertical="center"/>
      <protection/>
    </xf>
    <xf numFmtId="3" fontId="25" fillId="0" borderId="3" xfId="57" applyNumberFormat="1" applyFont="1" applyBorder="1" applyAlignment="1">
      <alignment vertical="center"/>
      <protection/>
    </xf>
    <xf numFmtId="3" fontId="25" fillId="0" borderId="20" xfId="57" applyNumberFormat="1" applyFont="1" applyBorder="1" applyAlignment="1">
      <alignment vertical="center"/>
      <protection/>
    </xf>
    <xf numFmtId="3" fontId="25" fillId="0" borderId="14" xfId="57" applyNumberFormat="1" applyFont="1" applyBorder="1" applyAlignment="1">
      <alignment vertical="center"/>
      <protection/>
    </xf>
    <xf numFmtId="3" fontId="25" fillId="0" borderId="18" xfId="57" applyNumberFormat="1" applyFont="1" applyBorder="1" applyAlignment="1">
      <alignment vertical="center"/>
      <protection/>
    </xf>
    <xf numFmtId="3" fontId="29" fillId="0" borderId="22" xfId="57" applyNumberFormat="1" applyFont="1" applyBorder="1" applyAlignment="1">
      <alignment vertical="center"/>
      <protection/>
    </xf>
    <xf numFmtId="3" fontId="29" fillId="0" borderId="46" xfId="57" applyNumberFormat="1" applyFont="1" applyBorder="1" applyAlignment="1">
      <alignment vertical="center"/>
      <protection/>
    </xf>
    <xf numFmtId="3" fontId="40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5" fillId="0" borderId="47" xfId="57" applyFont="1" applyFill="1" applyBorder="1" applyAlignment="1">
      <alignment horizontal="center" vertical="center" wrapText="1"/>
      <protection/>
    </xf>
    <xf numFmtId="0" fontId="27" fillId="0" borderId="47" xfId="57" applyFont="1" applyFill="1" applyBorder="1" applyAlignment="1">
      <alignment vertical="center" wrapText="1"/>
      <protection/>
    </xf>
    <xf numFmtId="0" fontId="31" fillId="0" borderId="47" xfId="57" applyFont="1" applyFill="1" applyBorder="1" applyAlignment="1">
      <alignment vertical="center" wrapText="1"/>
      <protection/>
    </xf>
    <xf numFmtId="0" fontId="28" fillId="0" borderId="47" xfId="57" applyFont="1" applyFill="1" applyBorder="1" applyAlignment="1">
      <alignment vertical="center" wrapText="1"/>
      <protection/>
    </xf>
    <xf numFmtId="3" fontId="29" fillId="0" borderId="18" xfId="57" applyNumberFormat="1" applyFont="1" applyFill="1" applyBorder="1" applyAlignment="1">
      <alignment vertical="center"/>
      <protection/>
    </xf>
    <xf numFmtId="3" fontId="29" fillId="0" borderId="17" xfId="57" applyNumberFormat="1" applyFont="1" applyFill="1" applyBorder="1" applyAlignment="1">
      <alignment vertical="center"/>
      <protection/>
    </xf>
    <xf numFmtId="0" fontId="34" fillId="0" borderId="48" xfId="57" applyFont="1" applyBorder="1" applyAlignment="1">
      <alignment horizontal="center" vertical="center" wrapText="1"/>
      <protection/>
    </xf>
    <xf numFmtId="0" fontId="25" fillId="0" borderId="12" xfId="57" applyFont="1" applyBorder="1" applyAlignment="1">
      <alignment horizontal="center" vertical="center" wrapText="1"/>
      <protection/>
    </xf>
    <xf numFmtId="3" fontId="30" fillId="0" borderId="36" xfId="57" applyNumberFormat="1" applyFont="1" applyBorder="1" applyAlignment="1">
      <alignment vertical="center"/>
      <protection/>
    </xf>
    <xf numFmtId="3" fontId="33" fillId="0" borderId="34" xfId="57" applyNumberFormat="1" applyFont="1" applyFill="1" applyBorder="1" applyAlignment="1">
      <alignment horizontal="center" vertical="center" wrapText="1"/>
      <protection/>
    </xf>
    <xf numFmtId="3" fontId="38" fillId="0" borderId="42" xfId="0" applyNumberFormat="1" applyFont="1" applyBorder="1" applyAlignment="1">
      <alignment horizontal="center"/>
    </xf>
    <xf numFmtId="3" fontId="29" fillId="0" borderId="11" xfId="57" applyNumberFormat="1" applyFont="1" applyBorder="1" applyAlignment="1">
      <alignment horizontal="center" vertical="center" wrapText="1"/>
      <protection/>
    </xf>
    <xf numFmtId="3" fontId="29" fillId="0" borderId="0" xfId="57" applyNumberFormat="1" applyFont="1" applyBorder="1" applyAlignment="1">
      <alignment horizontal="right" vertical="center" wrapText="1"/>
      <protection/>
    </xf>
    <xf numFmtId="3" fontId="38" fillId="0" borderId="0" xfId="0" applyNumberFormat="1" applyFont="1" applyAlignment="1">
      <alignment/>
    </xf>
    <xf numFmtId="3" fontId="33" fillId="0" borderId="12" xfId="57" applyNumberFormat="1" applyFont="1" applyFill="1" applyBorder="1" applyAlignment="1">
      <alignment horizontal="center" vertical="center" wrapText="1"/>
      <protection/>
    </xf>
    <xf numFmtId="3" fontId="33" fillId="0" borderId="11" xfId="57" applyNumberFormat="1" applyFont="1" applyFill="1" applyBorder="1" applyAlignment="1">
      <alignment vertical="center" wrapText="1"/>
      <protection/>
    </xf>
    <xf numFmtId="3" fontId="32" fillId="0" borderId="39" xfId="57" applyNumberFormat="1" applyFont="1" applyFill="1" applyBorder="1" applyAlignment="1">
      <alignment vertical="center" wrapText="1"/>
      <protection/>
    </xf>
    <xf numFmtId="3" fontId="38" fillId="0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3" fontId="26" fillId="0" borderId="0" xfId="0" applyNumberFormat="1" applyFont="1" applyAlignment="1">
      <alignment horizontal="right"/>
    </xf>
    <xf numFmtId="3" fontId="29" fillId="0" borderId="0" xfId="0" applyNumberFormat="1" applyFont="1" applyFill="1" applyAlignment="1">
      <alignment/>
    </xf>
    <xf numFmtId="3" fontId="29" fillId="0" borderId="42" xfId="0" applyNumberFormat="1" applyFont="1" applyBorder="1" applyAlignment="1">
      <alignment horizontal="center"/>
    </xf>
    <xf numFmtId="3" fontId="29" fillId="0" borderId="0" xfId="0" applyNumberFormat="1" applyFont="1" applyAlignment="1">
      <alignment/>
    </xf>
    <xf numFmtId="3" fontId="30" fillId="0" borderId="49" xfId="57" applyNumberFormat="1" applyFont="1" applyBorder="1" applyAlignment="1">
      <alignment vertical="center"/>
      <protection/>
    </xf>
    <xf numFmtId="3" fontId="30" fillId="0" borderId="50" xfId="57" applyNumberFormat="1" applyFont="1" applyBorder="1" applyAlignment="1">
      <alignment vertical="center"/>
      <protection/>
    </xf>
    <xf numFmtId="3" fontId="29" fillId="0" borderId="51" xfId="57" applyNumberFormat="1" applyFont="1" applyFill="1" applyBorder="1" applyAlignment="1">
      <alignment vertical="center"/>
      <protection/>
    </xf>
    <xf numFmtId="3" fontId="29" fillId="0" borderId="52" xfId="57" applyNumberFormat="1" applyFont="1" applyFill="1" applyBorder="1" applyAlignment="1">
      <alignment vertical="center"/>
      <protection/>
    </xf>
    <xf numFmtId="3" fontId="28" fillId="0" borderId="11" xfId="57" applyNumberFormat="1" applyFont="1" applyFill="1" applyBorder="1" applyAlignment="1">
      <alignment vertical="center" wrapText="1"/>
      <protection/>
    </xf>
    <xf numFmtId="3" fontId="28" fillId="0" borderId="0" xfId="0" applyNumberFormat="1" applyFont="1" applyAlignment="1">
      <alignment/>
    </xf>
    <xf numFmtId="3" fontId="28" fillId="0" borderId="24" xfId="0" applyNumberFormat="1" applyFont="1" applyBorder="1" applyAlignment="1">
      <alignment/>
    </xf>
    <xf numFmtId="3" fontId="29" fillId="0" borderId="53" xfId="57" applyNumberFormat="1" applyFont="1" applyBorder="1" applyAlignment="1">
      <alignment horizontal="center" vertical="center" wrapText="1"/>
      <protection/>
    </xf>
    <xf numFmtId="3" fontId="29" fillId="0" borderId="54" xfId="57" applyNumberFormat="1" applyFont="1" applyBorder="1" applyAlignment="1">
      <alignment horizontal="center" vertical="center" wrapText="1"/>
      <protection/>
    </xf>
    <xf numFmtId="3" fontId="29" fillId="0" borderId="55" xfId="57" applyNumberFormat="1" applyFont="1" applyBorder="1" applyAlignment="1">
      <alignment horizontal="right" vertical="center" wrapText="1"/>
      <protection/>
    </xf>
    <xf numFmtId="3" fontId="29" fillId="0" borderId="56" xfId="57" applyNumberFormat="1" applyFont="1" applyBorder="1" applyAlignment="1">
      <alignment horizontal="center" vertical="center" wrapText="1"/>
      <protection/>
    </xf>
    <xf numFmtId="0" fontId="38" fillId="0" borderId="0" xfId="0" applyFont="1" applyFill="1" applyAlignment="1">
      <alignment/>
    </xf>
    <xf numFmtId="0" fontId="33" fillId="0" borderId="11" xfId="57" applyFont="1" applyFill="1" applyBorder="1" applyAlignment="1">
      <alignment vertical="center" wrapText="1"/>
      <protection/>
    </xf>
    <xf numFmtId="0" fontId="29" fillId="0" borderId="11" xfId="57" applyFont="1" applyBorder="1" applyAlignment="1">
      <alignment horizontal="center" vertical="center" wrapText="1"/>
      <protection/>
    </xf>
    <xf numFmtId="0" fontId="38" fillId="0" borderId="0" xfId="0" applyFont="1" applyAlignment="1">
      <alignment/>
    </xf>
    <xf numFmtId="3" fontId="32" fillId="0" borderId="39" xfId="57" applyNumberFormat="1" applyFont="1" applyFill="1" applyBorder="1" applyAlignment="1">
      <alignment horizontal="center" vertical="center" wrapText="1"/>
      <protection/>
    </xf>
    <xf numFmtId="3" fontId="38" fillId="0" borderId="42" xfId="0" applyNumberFormat="1" applyFont="1" applyFill="1" applyBorder="1" applyAlignment="1">
      <alignment horizontal="center"/>
    </xf>
    <xf numFmtId="3" fontId="29" fillId="0" borderId="11" xfId="57" applyNumberFormat="1" applyFont="1" applyFill="1" applyBorder="1" applyAlignment="1">
      <alignment horizontal="center" vertical="center" wrapText="1"/>
      <protection/>
    </xf>
    <xf numFmtId="3" fontId="29" fillId="0" borderId="55" xfId="57" applyNumberFormat="1" applyFont="1" applyBorder="1" applyAlignment="1">
      <alignment horizontal="center" vertical="center" wrapText="1"/>
      <protection/>
    </xf>
    <xf numFmtId="3" fontId="32" fillId="0" borderId="0" xfId="57" applyNumberFormat="1" applyFont="1" applyFill="1" applyBorder="1" applyAlignment="1">
      <alignment vertical="center" wrapText="1"/>
      <protection/>
    </xf>
    <xf numFmtId="3" fontId="32" fillId="0" borderId="57" xfId="57" applyNumberFormat="1" applyFont="1" applyFill="1" applyBorder="1" applyAlignment="1">
      <alignment vertical="center" wrapText="1"/>
      <protection/>
    </xf>
    <xf numFmtId="3" fontId="38" fillId="0" borderId="58" xfId="0" applyNumberFormat="1" applyFont="1" applyBorder="1" applyAlignment="1">
      <alignment horizontal="center"/>
    </xf>
    <xf numFmtId="3" fontId="32" fillId="0" borderId="17" xfId="57" applyNumberFormat="1" applyFont="1" applyBorder="1" applyAlignment="1">
      <alignment vertical="center"/>
      <protection/>
    </xf>
    <xf numFmtId="3" fontId="38" fillId="0" borderId="35" xfId="0" applyNumberFormat="1" applyFont="1" applyBorder="1" applyAlignment="1">
      <alignment horizontal="center"/>
    </xf>
    <xf numFmtId="3" fontId="29" fillId="0" borderId="12" xfId="57" applyNumberFormat="1" applyFont="1" applyBorder="1" applyAlignment="1">
      <alignment horizontal="center" vertical="center" wrapText="1"/>
      <protection/>
    </xf>
    <xf numFmtId="3" fontId="18" fillId="0" borderId="59" xfId="0" applyNumberFormat="1" applyFont="1" applyBorder="1" applyAlignment="1">
      <alignment horizontal="center" vertical="center" wrapText="1"/>
    </xf>
    <xf numFmtId="3" fontId="18" fillId="0" borderId="55" xfId="57" applyNumberFormat="1" applyFont="1" applyBorder="1" applyAlignment="1">
      <alignment horizontal="center" vertical="center" wrapText="1"/>
      <protection/>
    </xf>
    <xf numFmtId="3" fontId="29" fillId="0" borderId="59" xfId="57" applyNumberFormat="1" applyFont="1" applyFill="1" applyBorder="1" applyAlignment="1">
      <alignment vertical="center"/>
      <protection/>
    </xf>
    <xf numFmtId="3" fontId="29" fillId="0" borderId="59" xfId="0" applyNumberFormat="1" applyFont="1" applyBorder="1" applyAlignment="1">
      <alignment horizontal="center" vertical="center" wrapText="1"/>
    </xf>
    <xf numFmtId="3" fontId="29" fillId="0" borderId="60" xfId="57" applyNumberFormat="1" applyFont="1" applyBorder="1" applyAlignment="1">
      <alignment horizontal="center" vertical="center" wrapText="1"/>
      <protection/>
    </xf>
    <xf numFmtId="3" fontId="29" fillId="0" borderId="48" xfId="57" applyNumberFormat="1" applyFont="1" applyBorder="1" applyAlignment="1">
      <alignment horizontal="center" vertical="center" wrapText="1"/>
      <protection/>
    </xf>
    <xf numFmtId="3" fontId="32" fillId="0" borderId="3" xfId="0" applyNumberFormat="1" applyFont="1" applyBorder="1" applyAlignment="1">
      <alignment horizontal="right" vertical="center"/>
    </xf>
    <xf numFmtId="3" fontId="29" fillId="0" borderId="61" xfId="57" applyNumberFormat="1" applyFont="1" applyBorder="1" applyAlignment="1">
      <alignment horizontal="center" vertical="center" wrapText="1"/>
      <protection/>
    </xf>
    <xf numFmtId="3" fontId="38" fillId="0" borderId="43" xfId="0" applyNumberFormat="1" applyFont="1" applyBorder="1" applyAlignment="1">
      <alignment horizontal="center"/>
    </xf>
    <xf numFmtId="3" fontId="29" fillId="0" borderId="34" xfId="57" applyNumberFormat="1" applyFont="1" applyBorder="1" applyAlignment="1">
      <alignment horizontal="center" vertical="center" wrapText="1"/>
      <protection/>
    </xf>
    <xf numFmtId="3" fontId="29" fillId="0" borderId="57" xfId="57" applyNumberFormat="1" applyFont="1" applyBorder="1" applyAlignment="1">
      <alignment horizontal="right" vertical="center" wrapText="1"/>
      <protection/>
    </xf>
    <xf numFmtId="3" fontId="29" fillId="0" borderId="38" xfId="57" applyNumberFormat="1" applyFont="1" applyFill="1" applyBorder="1" applyAlignment="1">
      <alignment vertical="center"/>
      <protection/>
    </xf>
    <xf numFmtId="3" fontId="29" fillId="0" borderId="38" xfId="57" applyNumberFormat="1" applyFont="1" applyBorder="1" applyAlignment="1">
      <alignment vertical="center"/>
      <protection/>
    </xf>
    <xf numFmtId="3" fontId="29" fillId="0" borderId="55" xfId="57" applyNumberFormat="1" applyFont="1" applyBorder="1" applyAlignment="1">
      <alignment horizontal="center" vertical="center" wrapText="1"/>
      <protection/>
    </xf>
    <xf numFmtId="3" fontId="29" fillId="0" borderId="44" xfId="57" applyNumberFormat="1" applyFont="1" applyBorder="1" applyAlignment="1">
      <alignment horizontal="right" vertical="center" wrapText="1"/>
      <protection/>
    </xf>
    <xf numFmtId="3" fontId="29" fillId="0" borderId="62" xfId="57" applyNumberFormat="1" applyFont="1" applyBorder="1" applyAlignment="1">
      <alignment horizontal="center" vertical="center" wrapText="1"/>
      <protection/>
    </xf>
    <xf numFmtId="3" fontId="29" fillId="0" borderId="62" xfId="57" applyNumberFormat="1" applyFont="1" applyBorder="1" applyAlignment="1">
      <alignment horizontal="right" vertical="center" wrapText="1"/>
      <protection/>
    </xf>
    <xf numFmtId="3" fontId="29" fillId="0" borderId="17" xfId="0" applyNumberFormat="1" applyFont="1" applyFill="1" applyBorder="1" applyAlignment="1">
      <alignment horizontal="center" vertical="center" wrapText="1"/>
    </xf>
    <xf numFmtId="3" fontId="32" fillId="0" borderId="55" xfId="0" applyNumberFormat="1" applyFont="1" applyBorder="1" applyAlignment="1">
      <alignment horizontal="center" vertical="center" wrapText="1"/>
    </xf>
    <xf numFmtId="3" fontId="29" fillId="0" borderId="63" xfId="57" applyNumberFormat="1" applyFont="1" applyBorder="1" applyAlignment="1">
      <alignment horizontal="center" vertical="center" wrapText="1"/>
      <protection/>
    </xf>
    <xf numFmtId="3" fontId="38" fillId="0" borderId="55" xfId="0" applyNumberFormat="1" applyFont="1" applyBorder="1" applyAlignment="1">
      <alignment vertical="center" wrapText="1"/>
    </xf>
    <xf numFmtId="3" fontId="38" fillId="0" borderId="39" xfId="0" applyNumberFormat="1" applyFont="1" applyBorder="1" applyAlignment="1">
      <alignment vertical="center" wrapText="1"/>
    </xf>
    <xf numFmtId="3" fontId="25" fillId="23" borderId="61" xfId="57" applyNumberFormat="1" applyFont="1" applyFill="1" applyBorder="1" applyAlignment="1">
      <alignment horizontal="center" vertical="center" wrapText="1"/>
      <protection/>
    </xf>
    <xf numFmtId="3" fontId="25" fillId="23" borderId="64" xfId="57" applyNumberFormat="1" applyFont="1" applyFill="1" applyBorder="1" applyAlignment="1">
      <alignment vertical="center"/>
      <protection/>
    </xf>
    <xf numFmtId="3" fontId="25" fillId="23" borderId="16" xfId="57" applyNumberFormat="1" applyFont="1" applyFill="1" applyBorder="1" applyAlignment="1">
      <alignment vertical="center"/>
      <protection/>
    </xf>
    <xf numFmtId="3" fontId="25" fillId="23" borderId="19" xfId="57" applyNumberFormat="1" applyFont="1" applyFill="1" applyBorder="1" applyAlignment="1">
      <alignment horizontal="center" vertical="center" wrapText="1"/>
      <protection/>
    </xf>
    <xf numFmtId="3" fontId="25" fillId="23" borderId="18" xfId="57" applyNumberFormat="1" applyFont="1" applyFill="1" applyBorder="1" applyAlignment="1">
      <alignment vertical="center"/>
      <protection/>
    </xf>
    <xf numFmtId="3" fontId="25" fillId="23" borderId="17" xfId="57" applyNumberFormat="1" applyFont="1" applyFill="1" applyBorder="1" applyAlignment="1">
      <alignment vertical="center"/>
      <protection/>
    </xf>
    <xf numFmtId="0" fontId="41" fillId="23" borderId="21" xfId="57" applyFont="1" applyFill="1" applyBorder="1" applyAlignment="1">
      <alignment horizontal="center" vertical="center" wrapText="1"/>
      <protection/>
    </xf>
    <xf numFmtId="3" fontId="41" fillId="23" borderId="37" xfId="57" applyNumberFormat="1" applyFont="1" applyFill="1" applyBorder="1" applyAlignment="1">
      <alignment vertical="center"/>
      <protection/>
    </xf>
    <xf numFmtId="3" fontId="41" fillId="23" borderId="23" xfId="57" applyNumberFormat="1" applyFont="1" applyFill="1" applyBorder="1" applyAlignment="1">
      <alignment vertical="center"/>
      <protection/>
    </xf>
    <xf numFmtId="3" fontId="41" fillId="23" borderId="46" xfId="57" applyNumberFormat="1" applyFont="1" applyFill="1" applyBorder="1" applyAlignment="1">
      <alignment vertical="center"/>
      <protection/>
    </xf>
    <xf numFmtId="3" fontId="32" fillId="0" borderId="44" xfId="57" applyNumberFormat="1" applyFont="1" applyFill="1" applyBorder="1" applyAlignment="1">
      <alignment vertical="center" wrapText="1"/>
      <protection/>
    </xf>
    <xf numFmtId="3" fontId="32" fillId="0" borderId="14" xfId="0" applyNumberFormat="1" applyFont="1" applyBorder="1" applyAlignment="1">
      <alignment horizontal="right" vertical="center"/>
    </xf>
    <xf numFmtId="3" fontId="32" fillId="0" borderId="39" xfId="0" applyNumberFormat="1" applyFont="1" applyBorder="1" applyAlignment="1">
      <alignment horizontal="left" vertical="center" wrapText="1"/>
    </xf>
    <xf numFmtId="4" fontId="42" fillId="23" borderId="39" xfId="57" applyNumberFormat="1" applyFont="1" applyFill="1" applyBorder="1" applyAlignment="1">
      <alignment vertical="center"/>
      <protection/>
    </xf>
    <xf numFmtId="0" fontId="35" fillId="0" borderId="47" xfId="57" applyFont="1" applyFill="1" applyBorder="1" applyAlignment="1">
      <alignment vertical="center" wrapText="1"/>
      <protection/>
    </xf>
    <xf numFmtId="0" fontId="42" fillId="23" borderId="39" xfId="57" applyFont="1" applyFill="1" applyBorder="1" applyAlignment="1">
      <alignment vertical="center" wrapText="1"/>
      <protection/>
    </xf>
    <xf numFmtId="4" fontId="35" fillId="23" borderId="39" xfId="57" applyNumberFormat="1" applyFont="1" applyFill="1" applyBorder="1" applyAlignment="1">
      <alignment vertical="center"/>
      <protection/>
    </xf>
    <xf numFmtId="4" fontId="35" fillId="23" borderId="39" xfId="57" applyNumberFormat="1" applyFont="1" applyFill="1" applyBorder="1" applyAlignment="1">
      <alignment horizontal="right" vertical="center"/>
      <protection/>
    </xf>
    <xf numFmtId="4" fontId="35" fillId="23" borderId="44" xfId="57" applyNumberFormat="1" applyFont="1" applyFill="1" applyBorder="1" applyAlignment="1">
      <alignment horizontal="right" vertical="center"/>
      <protection/>
    </xf>
    <xf numFmtId="0" fontId="43" fillId="0" borderId="0" xfId="0" applyFont="1" applyAlignment="1">
      <alignment/>
    </xf>
    <xf numFmtId="0" fontId="27" fillId="0" borderId="39" xfId="57" applyFont="1" applyFill="1" applyBorder="1" applyAlignment="1">
      <alignment vertical="center" wrapText="1"/>
      <protection/>
    </xf>
    <xf numFmtId="0" fontId="27" fillId="0" borderId="58" xfId="57" applyFont="1" applyFill="1" applyBorder="1" applyAlignment="1">
      <alignment vertical="center"/>
      <protection/>
    </xf>
    <xf numFmtId="0" fontId="27" fillId="0" borderId="44" xfId="57" applyFont="1" applyFill="1" applyBorder="1" applyAlignment="1">
      <alignment vertical="center" wrapText="1"/>
      <protection/>
    </xf>
    <xf numFmtId="0" fontId="35" fillId="23" borderId="58" xfId="57" applyFont="1" applyFill="1" applyBorder="1" applyAlignment="1">
      <alignment vertical="center"/>
      <protection/>
    </xf>
    <xf numFmtId="0" fontId="35" fillId="23" borderId="39" xfId="57" applyFont="1" applyFill="1" applyBorder="1" applyAlignment="1">
      <alignment vertical="center"/>
      <protection/>
    </xf>
    <xf numFmtId="0" fontId="42" fillId="23" borderId="39" xfId="57" applyFont="1" applyFill="1" applyBorder="1" applyAlignment="1">
      <alignment horizontal="left" vertical="center" wrapText="1"/>
      <protection/>
    </xf>
    <xf numFmtId="0" fontId="37" fillId="0" borderId="0" xfId="0" applyFont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Alignment="1">
      <alignment/>
    </xf>
    <xf numFmtId="3" fontId="43" fillId="0" borderId="0" xfId="0" applyNumberFormat="1" applyFont="1" applyAlignment="1">
      <alignment horizontal="right" vertical="center"/>
    </xf>
    <xf numFmtId="3" fontId="42" fillId="23" borderId="39" xfId="57" applyNumberFormat="1" applyFont="1" applyFill="1" applyBorder="1" applyAlignment="1">
      <alignment horizontal="right" vertical="center"/>
      <protection/>
    </xf>
    <xf numFmtId="3" fontId="27" fillId="0" borderId="39" xfId="57" applyNumberFormat="1" applyFont="1" applyFill="1" applyBorder="1" applyAlignment="1">
      <alignment horizontal="right" vertical="center" wrapText="1"/>
      <protection/>
    </xf>
    <xf numFmtId="3" fontId="36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27" fillId="0" borderId="39" xfId="57" applyNumberFormat="1" applyFont="1" applyBorder="1" applyAlignment="1">
      <alignment horizontal="right" vertical="center" wrapText="1"/>
      <protection/>
    </xf>
    <xf numFmtId="3" fontId="27" fillId="0" borderId="55" xfId="57" applyNumberFormat="1" applyFont="1" applyBorder="1" applyAlignment="1">
      <alignment horizontal="center" vertical="center" wrapText="1"/>
      <protection/>
    </xf>
    <xf numFmtId="0" fontId="27" fillId="0" borderId="39" xfId="57" applyFont="1" applyFill="1" applyBorder="1" applyAlignment="1">
      <alignment vertical="center"/>
      <protection/>
    </xf>
    <xf numFmtId="3" fontId="28" fillId="0" borderId="61" xfId="57" applyNumberFormat="1" applyFont="1" applyFill="1" applyBorder="1" applyAlignment="1">
      <alignment horizontal="center" vertical="center" wrapText="1"/>
      <protection/>
    </xf>
    <xf numFmtId="3" fontId="28" fillId="0" borderId="64" xfId="57" applyNumberFormat="1" applyFont="1" applyFill="1" applyBorder="1" applyAlignment="1">
      <alignment vertical="center"/>
      <protection/>
    </xf>
    <xf numFmtId="3" fontId="28" fillId="0" borderId="16" xfId="57" applyNumberFormat="1" applyFont="1" applyFill="1" applyBorder="1" applyAlignment="1">
      <alignment vertical="center"/>
      <protection/>
    </xf>
    <xf numFmtId="3" fontId="27" fillId="0" borderId="12" xfId="57" applyNumberFormat="1" applyFont="1" applyFill="1" applyBorder="1" applyAlignment="1">
      <alignment horizontal="right" vertical="center" wrapText="1"/>
      <protection/>
    </xf>
    <xf numFmtId="3" fontId="28" fillId="0" borderId="19" xfId="57" applyNumberFormat="1" applyFont="1" applyFill="1" applyBorder="1" applyAlignment="1">
      <alignment horizontal="center" vertical="center" wrapText="1"/>
      <protection/>
    </xf>
    <xf numFmtId="3" fontId="28" fillId="0" borderId="18" xfId="57" applyNumberFormat="1" applyFont="1" applyFill="1" applyBorder="1" applyAlignment="1">
      <alignment vertical="center"/>
      <protection/>
    </xf>
    <xf numFmtId="3" fontId="28" fillId="0" borderId="17" xfId="57" applyNumberFormat="1" applyFont="1" applyFill="1" applyBorder="1" applyAlignment="1">
      <alignment vertical="center"/>
      <protection/>
    </xf>
    <xf numFmtId="0" fontId="27" fillId="0" borderId="21" xfId="57" applyFont="1" applyFill="1" applyBorder="1" applyAlignment="1">
      <alignment horizontal="center" vertical="center" wrapText="1"/>
      <protection/>
    </xf>
    <xf numFmtId="3" fontId="27" fillId="0" borderId="37" xfId="57" applyNumberFormat="1" applyFont="1" applyFill="1" applyBorder="1" applyAlignment="1">
      <alignment vertical="center"/>
      <protection/>
    </xf>
    <xf numFmtId="3" fontId="27" fillId="0" borderId="23" xfId="57" applyNumberFormat="1" applyFont="1" applyFill="1" applyBorder="1" applyAlignment="1">
      <alignment vertical="center"/>
      <protection/>
    </xf>
    <xf numFmtId="3" fontId="27" fillId="0" borderId="46" xfId="57" applyNumberFormat="1" applyFont="1" applyFill="1" applyBorder="1" applyAlignment="1">
      <alignment vertical="center"/>
      <protection/>
    </xf>
    <xf numFmtId="3" fontId="27" fillId="0" borderId="59" xfId="57" applyNumberFormat="1" applyFont="1" applyBorder="1" applyAlignment="1">
      <alignment vertical="center"/>
      <protection/>
    </xf>
    <xf numFmtId="3" fontId="27" fillId="0" borderId="38" xfId="57" applyNumberFormat="1" applyFont="1" applyBorder="1" applyAlignment="1">
      <alignment vertical="center"/>
      <protection/>
    </xf>
    <xf numFmtId="3" fontId="27" fillId="0" borderId="52" xfId="57" applyNumberFormat="1" applyFont="1" applyBorder="1" applyAlignment="1">
      <alignment vertical="center"/>
      <protection/>
    </xf>
    <xf numFmtId="3" fontId="27" fillId="0" borderId="55" xfId="57" applyNumberFormat="1" applyFont="1" applyFill="1" applyBorder="1" applyAlignment="1">
      <alignment horizontal="right" vertical="center" wrapText="1"/>
      <protection/>
    </xf>
    <xf numFmtId="0" fontId="35" fillId="23" borderId="58" xfId="57" applyFont="1" applyFill="1" applyBorder="1" applyAlignment="1">
      <alignment horizontal="left" vertical="center"/>
      <protection/>
    </xf>
    <xf numFmtId="0" fontId="35" fillId="23" borderId="39" xfId="57" applyFont="1" applyFill="1" applyBorder="1" applyAlignment="1">
      <alignment horizontal="left" vertical="center"/>
      <protection/>
    </xf>
    <xf numFmtId="0" fontId="33" fillId="0" borderId="42" xfId="57" applyFont="1" applyFill="1" applyBorder="1" applyAlignment="1">
      <alignment vertical="center" wrapText="1"/>
      <protection/>
    </xf>
    <xf numFmtId="3" fontId="29" fillId="0" borderId="3" xfId="0" applyNumberFormat="1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3" fontId="30" fillId="0" borderId="11" xfId="57" applyNumberFormat="1" applyFont="1" applyBorder="1" applyAlignment="1">
      <alignment horizontal="center" vertical="center" wrapText="1"/>
      <protection/>
    </xf>
    <xf numFmtId="3" fontId="30" fillId="0" borderId="59" xfId="0" applyNumberFormat="1" applyFont="1" applyBorder="1" applyAlignment="1">
      <alignment horizontal="center" vertical="center" wrapText="1"/>
    </xf>
    <xf numFmtId="3" fontId="29" fillId="0" borderId="14" xfId="0" applyNumberFormat="1" applyFont="1" applyBorder="1" applyAlignment="1">
      <alignment horizontal="center" vertical="center" wrapText="1"/>
    </xf>
    <xf numFmtId="3" fontId="29" fillId="0" borderId="3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3" fontId="29" fillId="0" borderId="46" xfId="57" applyNumberFormat="1" applyFont="1" applyFill="1" applyBorder="1" applyAlignment="1">
      <alignment vertical="center"/>
      <protection/>
    </xf>
    <xf numFmtId="3" fontId="30" fillId="0" borderId="34" xfId="57" applyNumberFormat="1" applyFont="1" applyBorder="1" applyAlignment="1">
      <alignment horizontal="center" vertical="center" wrapText="1"/>
      <protection/>
    </xf>
    <xf numFmtId="3" fontId="29" fillId="0" borderId="23" xfId="0" applyNumberFormat="1" applyFont="1" applyFill="1" applyBorder="1" applyAlignment="1">
      <alignment horizontal="center" vertical="center" wrapText="1"/>
    </xf>
    <xf numFmtId="0" fontId="43" fillId="23" borderId="44" xfId="0" applyFont="1" applyFill="1" applyBorder="1" applyAlignment="1">
      <alignment horizontal="right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Fill="1" applyAlignment="1">
      <alignment vertical="center"/>
    </xf>
    <xf numFmtId="3" fontId="26" fillId="0" borderId="0" xfId="0" applyNumberFormat="1" applyFont="1" applyAlignment="1">
      <alignment horizontal="right" vertical="center"/>
    </xf>
    <xf numFmtId="3" fontId="18" fillId="0" borderId="0" xfId="0" applyNumberFormat="1" applyFont="1" applyAlignment="1">
      <alignment vertical="top"/>
    </xf>
    <xf numFmtId="0" fontId="44" fillId="0" borderId="0" xfId="0" applyFont="1" applyAlignment="1">
      <alignment vertical="top"/>
    </xf>
    <xf numFmtId="0" fontId="37" fillId="0" borderId="0" xfId="0" applyFont="1" applyBorder="1" applyAlignment="1">
      <alignment/>
    </xf>
    <xf numFmtId="0" fontId="29" fillId="0" borderId="12" xfId="57" applyFont="1" applyBorder="1" applyAlignment="1">
      <alignment horizontal="center" vertical="center" wrapText="1"/>
      <protection/>
    </xf>
    <xf numFmtId="0" fontId="37" fillId="0" borderId="24" xfId="0" applyFont="1" applyBorder="1" applyAlignment="1">
      <alignment/>
    </xf>
    <xf numFmtId="0" fontId="25" fillId="0" borderId="60" xfId="57" applyFont="1" applyBorder="1" applyAlignment="1">
      <alignment horizontal="center" vertical="center" wrapText="1"/>
      <protection/>
    </xf>
    <xf numFmtId="0" fontId="25" fillId="0" borderId="19" xfId="57" applyFont="1" applyBorder="1" applyAlignment="1">
      <alignment horizontal="center" vertical="center" wrapText="1"/>
      <protection/>
    </xf>
    <xf numFmtId="3" fontId="25" fillId="0" borderId="54" xfId="57" applyNumberFormat="1" applyFont="1" applyBorder="1" applyAlignment="1">
      <alignment vertical="center"/>
      <protection/>
    </xf>
    <xf numFmtId="0" fontId="46" fillId="0" borderId="21" xfId="57" applyFont="1" applyBorder="1" applyAlignment="1">
      <alignment horizontal="center" vertical="center" wrapText="1"/>
      <protection/>
    </xf>
    <xf numFmtId="3" fontId="41" fillId="0" borderId="22" xfId="57" applyNumberFormat="1" applyFont="1" applyBorder="1" applyAlignment="1">
      <alignment vertical="center"/>
      <protection/>
    </xf>
    <xf numFmtId="3" fontId="41" fillId="0" borderId="65" xfId="57" applyNumberFormat="1" applyFont="1" applyBorder="1" applyAlignment="1">
      <alignment vertical="center"/>
      <protection/>
    </xf>
    <xf numFmtId="3" fontId="25" fillId="0" borderId="64" xfId="57" applyNumberFormat="1" applyFont="1" applyBorder="1" applyAlignment="1">
      <alignment vertical="center"/>
      <protection/>
    </xf>
    <xf numFmtId="3" fontId="25" fillId="0" borderId="66" xfId="57" applyNumberFormat="1" applyFont="1" applyBorder="1" applyAlignment="1">
      <alignment vertical="center"/>
      <protection/>
    </xf>
    <xf numFmtId="0" fontId="41" fillId="0" borderId="19" xfId="57" applyFont="1" applyBorder="1" applyAlignment="1">
      <alignment horizontal="center" vertical="center" wrapText="1"/>
      <protection/>
    </xf>
    <xf numFmtId="3" fontId="25" fillId="0" borderId="67" xfId="57" applyNumberFormat="1" applyFont="1" applyBorder="1" applyAlignment="1">
      <alignment vertical="center"/>
      <protection/>
    </xf>
    <xf numFmtId="3" fontId="25" fillId="0" borderId="56" xfId="57" applyNumberFormat="1" applyFont="1" applyBorder="1" applyAlignment="1">
      <alignment vertical="center"/>
      <protection/>
    </xf>
    <xf numFmtId="0" fontId="41" fillId="0" borderId="60" xfId="57" applyFont="1" applyBorder="1" applyAlignment="1">
      <alignment horizontal="center" vertical="center" wrapText="1"/>
      <protection/>
    </xf>
    <xf numFmtId="3" fontId="41" fillId="0" borderId="68" xfId="57" applyNumberFormat="1" applyFont="1" applyBorder="1" applyAlignment="1">
      <alignment vertical="center"/>
      <protection/>
    </xf>
    <xf numFmtId="3" fontId="41" fillId="0" borderId="31" xfId="57" applyNumberFormat="1" applyFont="1" applyBorder="1" applyAlignment="1">
      <alignment vertical="center"/>
      <protection/>
    </xf>
    <xf numFmtId="3" fontId="41" fillId="0" borderId="69" xfId="57" applyNumberFormat="1" applyFont="1" applyBorder="1" applyAlignment="1">
      <alignment vertical="center"/>
      <protection/>
    </xf>
    <xf numFmtId="3" fontId="41" fillId="0" borderId="17" xfId="57" applyNumberFormat="1" applyFont="1" applyBorder="1" applyAlignment="1">
      <alignment vertical="center"/>
      <protection/>
    </xf>
    <xf numFmtId="3" fontId="41" fillId="0" borderId="54" xfId="57" applyNumberFormat="1" applyFont="1" applyBorder="1" applyAlignment="1">
      <alignment vertical="center"/>
      <protection/>
    </xf>
    <xf numFmtId="0" fontId="47" fillId="0" borderId="19" xfId="57" applyFont="1" applyBorder="1" applyAlignment="1">
      <alignment horizontal="center" vertical="center" wrapText="1"/>
      <protection/>
    </xf>
    <xf numFmtId="0" fontId="47" fillId="0" borderId="19" xfId="57" applyFont="1" applyBorder="1" applyAlignment="1">
      <alignment horizontal="center" vertical="center" wrapText="1"/>
      <protection/>
    </xf>
    <xf numFmtId="0" fontId="35" fillId="0" borderId="0" xfId="57" applyFont="1" applyFill="1" applyBorder="1" applyAlignment="1">
      <alignment vertical="center" wrapText="1"/>
      <protection/>
    </xf>
    <xf numFmtId="0" fontId="39" fillId="0" borderId="42" xfId="57" applyFont="1" applyFill="1" applyBorder="1" applyAlignment="1">
      <alignment vertical="center" wrapText="1"/>
      <protection/>
    </xf>
    <xf numFmtId="0" fontId="41" fillId="0" borderId="47" xfId="57" applyFont="1" applyFill="1" applyBorder="1" applyAlignment="1">
      <alignment vertical="center" wrapText="1"/>
      <protection/>
    </xf>
    <xf numFmtId="0" fontId="24" fillId="0" borderId="0" xfId="0" applyFont="1" applyBorder="1" applyAlignment="1">
      <alignment/>
    </xf>
    <xf numFmtId="0" fontId="24" fillId="0" borderId="24" xfId="0" applyFont="1" applyBorder="1" applyAlignment="1">
      <alignment/>
    </xf>
    <xf numFmtId="0" fontId="25" fillId="0" borderId="19" xfId="57" applyFont="1" applyFill="1" applyBorder="1" applyAlignment="1">
      <alignment horizontal="center" vertical="center" wrapText="1"/>
      <protection/>
    </xf>
    <xf numFmtId="3" fontId="41" fillId="0" borderId="56" xfId="57" applyNumberFormat="1" applyFont="1" applyBorder="1" applyAlignment="1">
      <alignment vertical="center"/>
      <protection/>
    </xf>
    <xf numFmtId="3" fontId="25" fillId="0" borderId="30" xfId="57" applyNumberFormat="1" applyFont="1" applyBorder="1" applyAlignment="1">
      <alignment vertical="center"/>
      <protection/>
    </xf>
    <xf numFmtId="3" fontId="25" fillId="0" borderId="27" xfId="57" applyNumberFormat="1" applyFont="1" applyBorder="1" applyAlignment="1">
      <alignment vertical="center"/>
      <protection/>
    </xf>
    <xf numFmtId="0" fontId="41" fillId="0" borderId="19" xfId="57" applyFont="1" applyFill="1" applyBorder="1" applyAlignment="1">
      <alignment horizontal="center" vertical="center" wrapText="1"/>
      <protection/>
    </xf>
    <xf numFmtId="3" fontId="32" fillId="0" borderId="17" xfId="57" applyNumberFormat="1" applyFont="1" applyBorder="1" applyAlignment="1">
      <alignment vertical="center"/>
      <protection/>
    </xf>
    <xf numFmtId="3" fontId="32" fillId="0" borderId="37" xfId="57" applyNumberFormat="1" applyFont="1" applyBorder="1" applyAlignment="1">
      <alignment vertical="center"/>
      <protection/>
    </xf>
    <xf numFmtId="0" fontId="29" fillId="0" borderId="11" xfId="57" applyFont="1" applyFill="1" applyBorder="1" applyAlignment="1">
      <alignment horizontal="center" vertical="center" wrapText="1"/>
      <protection/>
    </xf>
    <xf numFmtId="0" fontId="34" fillId="0" borderId="21" xfId="57" applyFont="1" applyBorder="1" applyAlignment="1">
      <alignment horizontal="center" vertical="center" wrapText="1"/>
      <protection/>
    </xf>
    <xf numFmtId="3" fontId="32" fillId="0" borderId="46" xfId="57" applyNumberFormat="1" applyFont="1" applyBorder="1" applyAlignment="1">
      <alignment vertical="center"/>
      <protection/>
    </xf>
    <xf numFmtId="0" fontId="39" fillId="0" borderId="47" xfId="57" applyFont="1" applyFill="1" applyBorder="1" applyAlignment="1">
      <alignment vertical="center" wrapText="1"/>
      <protection/>
    </xf>
    <xf numFmtId="0" fontId="34" fillId="0" borderId="21" xfId="57" applyFont="1" applyFill="1" applyBorder="1" applyAlignment="1">
      <alignment horizontal="center" vertical="center" wrapText="1"/>
      <protection/>
    </xf>
    <xf numFmtId="3" fontId="32" fillId="0" borderId="46" xfId="57" applyNumberFormat="1" applyFont="1" applyFill="1" applyBorder="1" applyAlignment="1">
      <alignment vertical="center"/>
      <protection/>
    </xf>
    <xf numFmtId="3" fontId="29" fillId="0" borderId="28" xfId="57" applyNumberFormat="1" applyFont="1" applyBorder="1" applyAlignment="1">
      <alignment vertical="center"/>
      <protection/>
    </xf>
    <xf numFmtId="3" fontId="29" fillId="0" borderId="29" xfId="57" applyNumberFormat="1" applyFont="1" applyBorder="1" applyAlignment="1">
      <alignment vertical="center"/>
      <protection/>
    </xf>
    <xf numFmtId="3" fontId="32" fillId="0" borderId="25" xfId="57" applyNumberFormat="1" applyFont="1" applyBorder="1" applyAlignment="1">
      <alignment vertical="center"/>
      <protection/>
    </xf>
    <xf numFmtId="0" fontId="29" fillId="0" borderId="48" xfId="57" applyFont="1" applyBorder="1" applyAlignment="1">
      <alignment horizontal="center" vertical="center" wrapText="1"/>
      <protection/>
    </xf>
    <xf numFmtId="0" fontId="29" fillId="0" borderId="60" xfId="57" applyFont="1" applyBorder="1" applyAlignment="1">
      <alignment horizontal="center" vertical="center" wrapText="1"/>
      <protection/>
    </xf>
    <xf numFmtId="3" fontId="32" fillId="0" borderId="41" xfId="57" applyNumberFormat="1" applyFont="1" applyBorder="1" applyAlignment="1">
      <alignment vertical="center"/>
      <protection/>
    </xf>
    <xf numFmtId="0" fontId="0" fillId="0" borderId="0" xfId="0" applyBorder="1" applyAlignment="1">
      <alignment/>
    </xf>
    <xf numFmtId="3" fontId="25" fillId="0" borderId="21" xfId="57" applyNumberFormat="1" applyFont="1" applyFill="1" applyBorder="1" applyAlignment="1">
      <alignment horizontal="center" vertical="center" wrapText="1"/>
      <protection/>
    </xf>
    <xf numFmtId="3" fontId="29" fillId="0" borderId="15" xfId="57" applyNumberFormat="1" applyFont="1" applyBorder="1" applyAlignment="1">
      <alignment vertical="center"/>
      <protection/>
    </xf>
    <xf numFmtId="3" fontId="29" fillId="0" borderId="16" xfId="57" applyNumberFormat="1" applyFont="1" applyBorder="1" applyAlignment="1">
      <alignment vertical="center"/>
      <protection/>
    </xf>
    <xf numFmtId="3" fontId="32" fillId="0" borderId="22" xfId="57" applyNumberFormat="1" applyFont="1" applyFill="1" applyBorder="1" applyAlignment="1">
      <alignment vertical="center"/>
      <protection/>
    </xf>
    <xf numFmtId="3" fontId="29" fillId="0" borderId="43" xfId="0" applyNumberFormat="1" applyFont="1" applyBorder="1" applyAlignment="1">
      <alignment horizontal="center"/>
    </xf>
    <xf numFmtId="3" fontId="30" fillId="0" borderId="46" xfId="57" applyNumberFormat="1" applyFont="1" applyBorder="1" applyAlignment="1">
      <alignment vertical="center"/>
      <protection/>
    </xf>
    <xf numFmtId="3" fontId="29" fillId="0" borderId="70" xfId="57" applyNumberFormat="1" applyFont="1" applyBorder="1" applyAlignment="1">
      <alignment horizontal="center" vertical="center" wrapText="1"/>
      <protection/>
    </xf>
    <xf numFmtId="3" fontId="30" fillId="0" borderId="71" xfId="57" applyNumberFormat="1" applyFont="1" applyBorder="1" applyAlignment="1">
      <alignment vertical="center"/>
      <protection/>
    </xf>
    <xf numFmtId="3" fontId="30" fillId="0" borderId="72" xfId="57" applyNumberFormat="1" applyFont="1" applyBorder="1" applyAlignment="1">
      <alignment vertical="center"/>
      <protection/>
    </xf>
    <xf numFmtId="0" fontId="38" fillId="0" borderId="0" xfId="0" applyFont="1" applyBorder="1" applyAlignment="1">
      <alignment/>
    </xf>
    <xf numFmtId="0" fontId="38" fillId="0" borderId="24" xfId="0" applyFont="1" applyBorder="1" applyAlignment="1">
      <alignment/>
    </xf>
    <xf numFmtId="3" fontId="28" fillId="23" borderId="34" xfId="57" applyNumberFormat="1" applyFont="1" applyFill="1" applyBorder="1" applyAlignment="1">
      <alignment horizontal="center" vertical="center" wrapText="1"/>
      <protection/>
    </xf>
    <xf numFmtId="0" fontId="27" fillId="23" borderId="21" xfId="57" applyFont="1" applyFill="1" applyBorder="1" applyAlignment="1">
      <alignment horizontal="center" vertical="center" wrapText="1"/>
      <protection/>
    </xf>
    <xf numFmtId="3" fontId="27" fillId="23" borderId="37" xfId="57" applyNumberFormat="1" applyFont="1" applyFill="1" applyBorder="1" applyAlignment="1">
      <alignment vertical="center"/>
      <protection/>
    </xf>
    <xf numFmtId="3" fontId="27" fillId="23" borderId="23" xfId="57" applyNumberFormat="1" applyFont="1" applyFill="1" applyBorder="1" applyAlignment="1">
      <alignment vertical="center"/>
      <protection/>
    </xf>
    <xf numFmtId="3" fontId="27" fillId="23" borderId="46" xfId="57" applyNumberFormat="1" applyFont="1" applyFill="1" applyBorder="1" applyAlignment="1">
      <alignment vertical="center"/>
      <protection/>
    </xf>
    <xf numFmtId="3" fontId="27" fillId="23" borderId="34" xfId="57" applyNumberFormat="1" applyFont="1" applyFill="1" applyBorder="1" applyAlignment="1">
      <alignment horizontal="right" vertical="center" wrapText="1"/>
      <protection/>
    </xf>
    <xf numFmtId="0" fontId="26" fillId="23" borderId="12" xfId="57" applyFont="1" applyFill="1" applyBorder="1" applyAlignment="1">
      <alignment horizontal="center" vertical="center" wrapText="1"/>
      <protection/>
    </xf>
    <xf numFmtId="0" fontId="26" fillId="23" borderId="19" xfId="57" applyFont="1" applyFill="1" applyBorder="1" applyAlignment="1">
      <alignment horizontal="center" vertical="center" wrapText="1"/>
      <protection/>
    </xf>
    <xf numFmtId="3" fontId="41" fillId="23" borderId="3" xfId="57" applyNumberFormat="1" applyFont="1" applyFill="1" applyBorder="1" applyAlignment="1">
      <alignment vertical="center"/>
      <protection/>
    </xf>
    <xf numFmtId="3" fontId="26" fillId="23" borderId="3" xfId="57" applyNumberFormat="1" applyFont="1" applyFill="1" applyBorder="1" applyAlignment="1">
      <alignment vertical="center"/>
      <protection/>
    </xf>
    <xf numFmtId="3" fontId="41" fillId="23" borderId="20" xfId="57" applyNumberFormat="1" applyFont="1" applyFill="1" applyBorder="1" applyAlignment="1">
      <alignment vertical="center"/>
      <protection/>
    </xf>
    <xf numFmtId="3" fontId="41" fillId="23" borderId="14" xfId="57" applyNumberFormat="1" applyFont="1" applyFill="1" applyBorder="1" applyAlignment="1">
      <alignment vertical="center"/>
      <protection/>
    </xf>
    <xf numFmtId="3" fontId="26" fillId="23" borderId="14" xfId="57" applyNumberFormat="1" applyFont="1" applyFill="1" applyBorder="1" applyAlignment="1">
      <alignment vertical="center"/>
      <protection/>
    </xf>
    <xf numFmtId="3" fontId="26" fillId="23" borderId="56" xfId="57" applyNumberFormat="1" applyFont="1" applyFill="1" applyBorder="1" applyAlignment="1">
      <alignment vertical="center"/>
      <protection/>
    </xf>
    <xf numFmtId="0" fontId="24" fillId="23" borderId="19" xfId="57" applyFont="1" applyFill="1" applyBorder="1" applyAlignment="1">
      <alignment horizontal="center" vertical="center" wrapText="1"/>
      <protection/>
    </xf>
    <xf numFmtId="0" fontId="26" fillId="23" borderId="60" xfId="57" applyFont="1" applyFill="1" applyBorder="1" applyAlignment="1">
      <alignment horizontal="center" vertical="center" wrapText="1"/>
      <protection/>
    </xf>
    <xf numFmtId="0" fontId="24" fillId="23" borderId="19" xfId="57" applyFont="1" applyFill="1" applyBorder="1" applyAlignment="1">
      <alignment horizontal="center" vertical="center" wrapText="1"/>
      <protection/>
    </xf>
    <xf numFmtId="3" fontId="41" fillId="23" borderId="18" xfId="57" applyNumberFormat="1" applyFont="1" applyFill="1" applyBorder="1" applyAlignment="1">
      <alignment vertical="center"/>
      <protection/>
    </xf>
    <xf numFmtId="3" fontId="26" fillId="23" borderId="54" xfId="57" applyNumberFormat="1" applyFont="1" applyFill="1" applyBorder="1" applyAlignment="1">
      <alignment vertical="center"/>
      <protection/>
    </xf>
    <xf numFmtId="0" fontId="24" fillId="23" borderId="21" xfId="57" applyFont="1" applyFill="1" applyBorder="1" applyAlignment="1">
      <alignment horizontal="center" vertical="center" wrapText="1"/>
      <protection/>
    </xf>
    <xf numFmtId="3" fontId="25" fillId="23" borderId="15" xfId="57" applyNumberFormat="1" applyFont="1" applyFill="1" applyBorder="1" applyAlignment="1">
      <alignment vertical="center"/>
      <protection/>
    </xf>
    <xf numFmtId="3" fontId="25" fillId="23" borderId="45" xfId="57" applyNumberFormat="1" applyFont="1" applyFill="1" applyBorder="1" applyAlignment="1">
      <alignment vertical="center"/>
      <protection/>
    </xf>
    <xf numFmtId="3" fontId="18" fillId="23" borderId="45" xfId="57" applyNumberFormat="1" applyFont="1" applyFill="1" applyBorder="1" applyAlignment="1">
      <alignment vertical="center"/>
      <protection/>
    </xf>
    <xf numFmtId="3" fontId="18" fillId="23" borderId="16" xfId="57" applyNumberFormat="1" applyFont="1" applyFill="1" applyBorder="1" applyAlignment="1">
      <alignment vertical="center"/>
      <protection/>
    </xf>
    <xf numFmtId="3" fontId="25" fillId="23" borderId="26" xfId="57" applyNumberFormat="1" applyFont="1" applyFill="1" applyBorder="1" applyAlignment="1">
      <alignment vertical="center"/>
      <protection/>
    </xf>
    <xf numFmtId="3" fontId="25" fillId="23" borderId="3" xfId="57" applyNumberFormat="1" applyFont="1" applyFill="1" applyBorder="1" applyAlignment="1">
      <alignment vertical="center"/>
      <protection/>
    </xf>
    <xf numFmtId="3" fontId="18" fillId="23" borderId="3" xfId="57" applyNumberFormat="1" applyFont="1" applyFill="1" applyBorder="1" applyAlignment="1">
      <alignment vertical="center"/>
      <protection/>
    </xf>
    <xf numFmtId="3" fontId="18" fillId="23" borderId="17" xfId="57" applyNumberFormat="1" applyFont="1" applyFill="1" applyBorder="1" applyAlignment="1">
      <alignment vertical="center"/>
      <protection/>
    </xf>
    <xf numFmtId="3" fontId="25" fillId="23" borderId="20" xfId="57" applyNumberFormat="1" applyFont="1" applyFill="1" applyBorder="1" applyAlignment="1">
      <alignment vertical="center"/>
      <protection/>
    </xf>
    <xf numFmtId="3" fontId="25" fillId="23" borderId="14" xfId="57" applyNumberFormat="1" applyFont="1" applyFill="1" applyBorder="1" applyAlignment="1">
      <alignment vertical="center"/>
      <protection/>
    </xf>
    <xf numFmtId="3" fontId="18" fillId="23" borderId="14" xfId="57" applyNumberFormat="1" applyFont="1" applyFill="1" applyBorder="1" applyAlignment="1">
      <alignment vertical="center"/>
      <protection/>
    </xf>
    <xf numFmtId="3" fontId="18" fillId="23" borderId="56" xfId="57" applyNumberFormat="1" applyFont="1" applyFill="1" applyBorder="1" applyAlignment="1">
      <alignment vertical="center"/>
      <protection/>
    </xf>
    <xf numFmtId="3" fontId="28" fillId="23" borderId="68" xfId="57" applyNumberFormat="1" applyFont="1" applyFill="1" applyBorder="1" applyAlignment="1">
      <alignment vertical="center"/>
      <protection/>
    </xf>
    <xf numFmtId="3" fontId="28" fillId="23" borderId="31" xfId="57" applyNumberFormat="1" applyFont="1" applyFill="1" applyBorder="1" applyAlignment="1">
      <alignment vertical="center"/>
      <protection/>
    </xf>
    <xf numFmtId="3" fontId="28" fillId="23" borderId="24" xfId="57" applyNumberFormat="1" applyFont="1" applyFill="1" applyBorder="1" applyAlignment="1">
      <alignment vertical="center"/>
      <protection/>
    </xf>
    <xf numFmtId="3" fontId="28" fillId="23" borderId="17" xfId="57" applyNumberFormat="1" applyFont="1" applyFill="1" applyBorder="1" applyAlignment="1">
      <alignment vertical="center"/>
      <protection/>
    </xf>
    <xf numFmtId="3" fontId="28" fillId="23" borderId="3" xfId="57" applyNumberFormat="1" applyFont="1" applyFill="1" applyBorder="1" applyAlignment="1">
      <alignment vertical="center"/>
      <protection/>
    </xf>
    <xf numFmtId="3" fontId="28" fillId="23" borderId="54" xfId="57" applyNumberFormat="1" applyFont="1" applyFill="1" applyBorder="1" applyAlignment="1">
      <alignment vertical="center"/>
      <protection/>
    </xf>
    <xf numFmtId="3" fontId="28" fillId="23" borderId="18" xfId="57" applyNumberFormat="1" applyFont="1" applyFill="1" applyBorder="1" applyAlignment="1">
      <alignment vertical="center"/>
      <protection/>
    </xf>
    <xf numFmtId="3" fontId="28" fillId="23" borderId="26" xfId="57" applyNumberFormat="1" applyFont="1" applyFill="1" applyBorder="1" applyAlignment="1">
      <alignment vertical="center"/>
      <protection/>
    </xf>
    <xf numFmtId="3" fontId="28" fillId="23" borderId="13" xfId="57" applyNumberFormat="1" applyFont="1" applyFill="1" applyBorder="1" applyAlignment="1">
      <alignment vertical="center"/>
      <protection/>
    </xf>
    <xf numFmtId="3" fontId="28" fillId="23" borderId="14" xfId="57" applyNumberFormat="1" applyFont="1" applyFill="1" applyBorder="1" applyAlignment="1">
      <alignment vertical="center"/>
      <protection/>
    </xf>
    <xf numFmtId="3" fontId="28" fillId="23" borderId="25" xfId="57" applyNumberFormat="1" applyFont="1" applyFill="1" applyBorder="1" applyAlignment="1">
      <alignment vertical="center"/>
      <protection/>
    </xf>
    <xf numFmtId="3" fontId="29" fillId="0" borderId="14" xfId="0" applyNumberFormat="1" applyFont="1" applyBorder="1" applyAlignment="1">
      <alignment horizontal="right" vertical="center"/>
    </xf>
    <xf numFmtId="3" fontId="29" fillId="0" borderId="39" xfId="57" applyNumberFormat="1" applyFont="1" applyFill="1" applyBorder="1" applyAlignment="1">
      <alignment vertical="center" wrapText="1"/>
      <protection/>
    </xf>
    <xf numFmtId="3" fontId="29" fillId="0" borderId="3" xfId="0" applyNumberFormat="1" applyFont="1" applyFill="1" applyBorder="1" applyAlignment="1">
      <alignment horizontal="right" vertical="center"/>
    </xf>
    <xf numFmtId="3" fontId="29" fillId="0" borderId="38" xfId="0" applyNumberFormat="1" applyFont="1" applyFill="1" applyBorder="1" applyAlignment="1">
      <alignment horizontal="right" vertical="center"/>
    </xf>
    <xf numFmtId="3" fontId="29" fillId="0" borderId="39" xfId="0" applyNumberFormat="1" applyFont="1" applyBorder="1" applyAlignment="1">
      <alignment horizontal="right" vertical="center"/>
    </xf>
    <xf numFmtId="3" fontId="29" fillId="0" borderId="38" xfId="0" applyNumberFormat="1" applyFont="1" applyBorder="1" applyAlignment="1">
      <alignment horizontal="right" vertical="center"/>
    </xf>
    <xf numFmtId="3" fontId="29" fillId="0" borderId="57" xfId="0" applyNumberFormat="1" applyFont="1" applyFill="1" applyBorder="1" applyAlignment="1">
      <alignment vertical="center"/>
    </xf>
    <xf numFmtId="3" fontId="29" fillId="0" borderId="73" xfId="0" applyNumberFormat="1" applyFont="1" applyFill="1" applyBorder="1" applyAlignment="1">
      <alignment horizontal="right" vertical="center"/>
    </xf>
    <xf numFmtId="3" fontId="29" fillId="0" borderId="74" xfId="0" applyNumberFormat="1" applyFont="1" applyFill="1" applyBorder="1" applyAlignment="1">
      <alignment horizontal="right" vertical="center"/>
    </xf>
    <xf numFmtId="3" fontId="29" fillId="0" borderId="52" xfId="57" applyNumberFormat="1" applyFont="1" applyBorder="1" applyAlignment="1">
      <alignment vertical="center"/>
      <protection/>
    </xf>
    <xf numFmtId="3" fontId="29" fillId="0" borderId="3" xfId="0" applyNumberFormat="1" applyFont="1" applyBorder="1" applyAlignment="1">
      <alignment horizontal="right" vertical="center"/>
    </xf>
    <xf numFmtId="3" fontId="29" fillId="0" borderId="20" xfId="57" applyNumberFormat="1" applyFont="1" applyBorder="1" applyAlignment="1">
      <alignment vertical="center"/>
      <protection/>
    </xf>
    <xf numFmtId="3" fontId="29" fillId="0" borderId="25" xfId="57" applyNumberFormat="1" applyFont="1" applyBorder="1" applyAlignment="1">
      <alignment vertical="center"/>
      <protection/>
    </xf>
    <xf numFmtId="3" fontId="29" fillId="0" borderId="23" xfId="0" applyNumberFormat="1" applyFont="1" applyFill="1" applyBorder="1" applyAlignment="1">
      <alignment horizontal="right" vertical="center"/>
    </xf>
    <xf numFmtId="3" fontId="29" fillId="0" borderId="38" xfId="57" applyNumberFormat="1" applyFont="1" applyFill="1" applyBorder="1" applyAlignment="1">
      <alignment vertical="center"/>
      <protection/>
    </xf>
    <xf numFmtId="3" fontId="29" fillId="0" borderId="59" xfId="0" applyNumberFormat="1" applyFont="1" applyFill="1" applyBorder="1" applyAlignment="1">
      <alignment vertical="center"/>
    </xf>
    <xf numFmtId="3" fontId="29" fillId="0" borderId="38" xfId="0" applyNumberFormat="1" applyFont="1" applyFill="1" applyBorder="1" applyAlignment="1">
      <alignment vertical="center"/>
    </xf>
    <xf numFmtId="3" fontId="29" fillId="0" borderId="31" xfId="0" applyNumberFormat="1" applyFont="1" applyFill="1" applyBorder="1" applyAlignment="1">
      <alignment horizontal="right" vertical="center"/>
    </xf>
    <xf numFmtId="3" fontId="29" fillId="0" borderId="3" xfId="0" applyNumberFormat="1" applyFont="1" applyBorder="1" applyAlignment="1">
      <alignment vertical="center"/>
    </xf>
    <xf numFmtId="3" fontId="29" fillId="0" borderId="14" xfId="0" applyNumberFormat="1" applyFont="1" applyBorder="1" applyAlignment="1">
      <alignment vertical="center"/>
    </xf>
    <xf numFmtId="3" fontId="29" fillId="0" borderId="45" xfId="0" applyNumberFormat="1" applyFont="1" applyFill="1" applyBorder="1" applyAlignment="1">
      <alignment horizontal="right" vertical="center"/>
    </xf>
    <xf numFmtId="3" fontId="29" fillId="0" borderId="68" xfId="57" applyNumberFormat="1" applyFont="1" applyBorder="1" applyAlignment="1">
      <alignment vertical="center"/>
      <protection/>
    </xf>
    <xf numFmtId="3" fontId="29" fillId="0" borderId="75" xfId="0" applyNumberFormat="1" applyFont="1" applyFill="1" applyBorder="1" applyAlignment="1">
      <alignment horizontal="right" vertical="center"/>
    </xf>
    <xf numFmtId="3" fontId="29" fillId="0" borderId="39" xfId="57" applyNumberFormat="1" applyFont="1" applyBorder="1" applyAlignment="1">
      <alignment horizontal="right" vertical="center" wrapText="1"/>
      <protection/>
    </xf>
    <xf numFmtId="0" fontId="28" fillId="0" borderId="58" xfId="57" applyFont="1" applyFill="1" applyBorder="1" applyAlignment="1">
      <alignment vertical="center"/>
      <protection/>
    </xf>
    <xf numFmtId="3" fontId="29" fillId="0" borderId="0" xfId="57" applyNumberFormat="1" applyFont="1" applyFill="1" applyBorder="1" applyAlignment="1">
      <alignment vertical="center" wrapText="1"/>
      <protection/>
    </xf>
    <xf numFmtId="3" fontId="18" fillId="0" borderId="39" xfId="57" applyNumberFormat="1" applyFont="1" applyBorder="1" applyAlignment="1">
      <alignment horizontal="right" vertical="center" wrapText="1"/>
      <protection/>
    </xf>
    <xf numFmtId="0" fontId="28" fillId="0" borderId="39" xfId="57" applyFont="1" applyFill="1" applyBorder="1" applyAlignment="1">
      <alignment vertical="center"/>
      <protection/>
    </xf>
    <xf numFmtId="3" fontId="29" fillId="0" borderId="0" xfId="57" applyNumberFormat="1" applyFont="1" applyBorder="1" applyAlignment="1">
      <alignment horizontal="right" vertical="center" wrapText="1"/>
      <protection/>
    </xf>
    <xf numFmtId="0" fontId="0" fillId="0" borderId="0" xfId="0" applyFill="1" applyBorder="1" applyAlignment="1">
      <alignment/>
    </xf>
    <xf numFmtId="0" fontId="48" fillId="0" borderId="0" xfId="56" applyFont="1" applyAlignment="1">
      <alignment horizontal="right"/>
      <protection/>
    </xf>
    <xf numFmtId="0" fontId="49" fillId="0" borderId="0" xfId="56" applyFont="1" applyAlignment="1">
      <alignment/>
      <protection/>
    </xf>
    <xf numFmtId="0" fontId="27" fillId="0" borderId="43" xfId="57" applyFont="1" applyFill="1" applyBorder="1" applyAlignment="1">
      <alignment vertical="center"/>
      <protection/>
    </xf>
    <xf numFmtId="0" fontId="27" fillId="0" borderId="57" xfId="57" applyFont="1" applyFill="1" applyBorder="1" applyAlignment="1">
      <alignment vertical="center" wrapText="1"/>
      <protection/>
    </xf>
    <xf numFmtId="3" fontId="27" fillId="0" borderId="57" xfId="57" applyNumberFormat="1" applyFont="1" applyFill="1" applyBorder="1" applyAlignment="1">
      <alignment horizontal="right" vertical="center" wrapText="1"/>
      <protection/>
    </xf>
    <xf numFmtId="0" fontId="27" fillId="0" borderId="76" xfId="57" applyFont="1" applyFill="1" applyBorder="1" applyAlignment="1">
      <alignment vertical="center" wrapText="1"/>
      <protection/>
    </xf>
    <xf numFmtId="3" fontId="29" fillId="0" borderId="57" xfId="57" applyNumberFormat="1" applyFont="1" applyFill="1" applyBorder="1" applyAlignment="1">
      <alignment vertical="center" wrapText="1"/>
      <protection/>
    </xf>
    <xf numFmtId="0" fontId="28" fillId="0" borderId="43" xfId="57" applyFont="1" applyFill="1" applyBorder="1" applyAlignment="1">
      <alignment vertical="center"/>
      <protection/>
    </xf>
    <xf numFmtId="3" fontId="29" fillId="0" borderId="24" xfId="57" applyNumberFormat="1" applyFont="1" applyBorder="1" applyAlignment="1">
      <alignment horizontal="right" vertical="center" wrapText="1"/>
      <protection/>
    </xf>
    <xf numFmtId="0" fontId="27" fillId="0" borderId="57" xfId="57" applyFont="1" applyFill="1" applyBorder="1" applyAlignment="1">
      <alignment vertical="center"/>
      <protection/>
    </xf>
    <xf numFmtId="0" fontId="28" fillId="0" borderId="57" xfId="57" applyFont="1" applyFill="1" applyBorder="1" applyAlignment="1">
      <alignment vertical="center"/>
      <protection/>
    </xf>
    <xf numFmtId="3" fontId="25" fillId="0" borderId="37" xfId="57" applyNumberFormat="1" applyFont="1" applyFill="1" applyBorder="1" applyAlignment="1">
      <alignment horizontal="center" vertical="center" wrapText="1"/>
      <protection/>
    </xf>
    <xf numFmtId="3" fontId="25" fillId="0" borderId="41" xfId="57" applyNumberFormat="1" applyFont="1" applyFill="1" applyBorder="1" applyAlignment="1">
      <alignment horizontal="center" vertical="center" wrapText="1"/>
      <protection/>
    </xf>
    <xf numFmtId="3" fontId="25" fillId="0" borderId="65" xfId="57" applyNumberFormat="1" applyFont="1" applyFill="1" applyBorder="1" applyAlignment="1">
      <alignment horizontal="center" vertical="center" wrapText="1"/>
      <protection/>
    </xf>
    <xf numFmtId="3" fontId="25" fillId="0" borderId="23" xfId="57" applyNumberFormat="1" applyFont="1" applyFill="1" applyBorder="1" applyAlignment="1">
      <alignment horizontal="center" vertical="center" wrapText="1"/>
      <protection/>
    </xf>
    <xf numFmtId="0" fontId="24" fillId="0" borderId="41" xfId="57" applyFont="1" applyBorder="1" applyAlignment="1">
      <alignment horizontal="center" vertical="center" wrapText="1"/>
      <protection/>
    </xf>
    <xf numFmtId="3" fontId="18" fillId="0" borderId="26" xfId="57" applyNumberFormat="1" applyFont="1" applyBorder="1" applyAlignment="1">
      <alignment horizontal="right" vertical="center" wrapText="1"/>
      <protection/>
    </xf>
    <xf numFmtId="3" fontId="18" fillId="0" borderId="27" xfId="57" applyNumberFormat="1" applyFont="1" applyBorder="1" applyAlignment="1">
      <alignment horizontal="right" vertical="center" wrapText="1"/>
      <protection/>
    </xf>
    <xf numFmtId="3" fontId="18" fillId="0" borderId="19" xfId="57" applyNumberFormat="1" applyFont="1" applyBorder="1" applyAlignment="1">
      <alignment horizontal="right" vertical="center" wrapText="1"/>
      <protection/>
    </xf>
    <xf numFmtId="3" fontId="18" fillId="0" borderId="54" xfId="57" applyNumberFormat="1" applyFont="1" applyBorder="1" applyAlignment="1">
      <alignment horizontal="right" vertical="center" wrapText="1"/>
      <protection/>
    </xf>
    <xf numFmtId="3" fontId="0" fillId="0" borderId="54" xfId="0" applyNumberFormat="1" applyFont="1" applyBorder="1" applyAlignment="1">
      <alignment horizontal="right"/>
    </xf>
    <xf numFmtId="3" fontId="0" fillId="0" borderId="54" xfId="0" applyNumberFormat="1" applyFont="1" applyBorder="1" applyAlignment="1">
      <alignment horizontal="right"/>
    </xf>
    <xf numFmtId="3" fontId="18" fillId="0" borderId="54" xfId="57" applyNumberFormat="1" applyFont="1" applyBorder="1" applyAlignment="1">
      <alignment horizontal="right" vertical="center"/>
      <protection/>
    </xf>
    <xf numFmtId="3" fontId="0" fillId="0" borderId="54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18" fillId="0" borderId="26" xfId="57" applyNumberFormat="1" applyFont="1" applyBorder="1" applyAlignment="1">
      <alignment horizontal="right" vertical="center"/>
      <protection/>
    </xf>
    <xf numFmtId="3" fontId="18" fillId="0" borderId="27" xfId="57" applyNumberFormat="1" applyFont="1" applyBorder="1" applyAlignment="1">
      <alignment horizontal="right" vertical="center"/>
      <protection/>
    </xf>
    <xf numFmtId="3" fontId="18" fillId="0" borderId="19" xfId="57" applyNumberFormat="1" applyFont="1" applyBorder="1" applyAlignment="1">
      <alignment horizontal="right" vertical="center"/>
      <protection/>
    </xf>
    <xf numFmtId="3" fontId="0" fillId="0" borderId="26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37" xfId="0" applyNumberFormat="1" applyFont="1" applyBorder="1" applyAlignment="1">
      <alignment horizontal="right"/>
    </xf>
    <xf numFmtId="3" fontId="0" fillId="0" borderId="41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65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0" fontId="29" fillId="0" borderId="34" xfId="57" applyFont="1" applyBorder="1" applyAlignment="1">
      <alignment horizontal="center" vertical="center" wrapText="1"/>
      <protection/>
    </xf>
    <xf numFmtId="3" fontId="29" fillId="0" borderId="77" xfId="57" applyNumberFormat="1" applyFont="1" applyBorder="1" applyAlignment="1">
      <alignment horizontal="center" vertical="center" wrapText="1"/>
      <protection/>
    </xf>
    <xf numFmtId="3" fontId="29" fillId="0" borderId="78" xfId="57" applyNumberFormat="1" applyFont="1" applyBorder="1" applyAlignment="1">
      <alignment vertical="center"/>
      <protection/>
    </xf>
    <xf numFmtId="3" fontId="29" fillId="0" borderId="59" xfId="57" applyNumberFormat="1" applyFont="1" applyBorder="1" applyAlignment="1">
      <alignment vertical="center"/>
      <protection/>
    </xf>
    <xf numFmtId="3" fontId="29" fillId="0" borderId="38" xfId="57" applyNumberFormat="1" applyFont="1" applyBorder="1" applyAlignment="1">
      <alignment vertical="center"/>
      <protection/>
    </xf>
    <xf numFmtId="3" fontId="29" fillId="0" borderId="79" xfId="57" applyNumberFormat="1" applyFont="1" applyBorder="1" applyAlignment="1">
      <alignment vertical="center"/>
      <protection/>
    </xf>
    <xf numFmtId="0" fontId="29" fillId="0" borderId="34" xfId="0" applyFont="1" applyFill="1" applyBorder="1" applyAlignment="1">
      <alignment horizontal="center" vertical="center" wrapText="1"/>
    </xf>
    <xf numFmtId="3" fontId="29" fillId="0" borderId="57" xfId="57" applyNumberFormat="1" applyFont="1" applyBorder="1" applyAlignment="1">
      <alignment horizontal="right" vertical="center" wrapText="1"/>
      <protection/>
    </xf>
    <xf numFmtId="3" fontId="29" fillId="0" borderId="73" xfId="0" applyNumberFormat="1" applyFont="1" applyBorder="1" applyAlignment="1">
      <alignment horizontal="right" vertical="center"/>
    </xf>
    <xf numFmtId="0" fontId="0" fillId="0" borderId="61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1" fontId="0" fillId="0" borderId="68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3" fontId="0" fillId="0" borderId="60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1" fontId="0" fillId="0" borderId="18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9" fillId="0" borderId="34" xfId="57" applyNumberFormat="1" applyFont="1" applyFill="1" applyBorder="1" applyAlignment="1">
      <alignment horizontal="center" vertical="center" wrapText="1"/>
      <protection/>
    </xf>
    <xf numFmtId="3" fontId="29" fillId="0" borderId="22" xfId="57" applyNumberFormat="1" applyFont="1" applyFill="1" applyBorder="1" applyAlignment="1">
      <alignment vertical="center"/>
      <protection/>
    </xf>
    <xf numFmtId="3" fontId="29" fillId="0" borderId="73" xfId="0" applyNumberFormat="1" applyFont="1" applyBorder="1" applyAlignment="1">
      <alignment vertical="center"/>
    </xf>
    <xf numFmtId="0" fontId="26" fillId="23" borderId="0" xfId="57" applyFont="1" applyFill="1" applyBorder="1" applyAlignment="1">
      <alignment horizontal="center" vertical="center" wrapText="1"/>
      <protection/>
    </xf>
    <xf numFmtId="3" fontId="29" fillId="0" borderId="28" xfId="57" applyNumberFormat="1" applyFont="1" applyFill="1" applyBorder="1" applyAlignment="1">
      <alignment vertical="center"/>
      <protection/>
    </xf>
    <xf numFmtId="3" fontId="29" fillId="0" borderId="14" xfId="0" applyNumberFormat="1" applyFont="1" applyFill="1" applyBorder="1" applyAlignment="1">
      <alignment horizontal="right" vertical="center"/>
    </xf>
    <xf numFmtId="0" fontId="33" fillId="0" borderId="11" xfId="57" applyFont="1" applyFill="1" applyBorder="1" applyAlignment="1">
      <alignment horizontal="center" vertical="center" wrapText="1"/>
      <protection/>
    </xf>
    <xf numFmtId="3" fontId="29" fillId="0" borderId="23" xfId="0" applyNumberFormat="1" applyFont="1" applyBorder="1" applyAlignment="1">
      <alignment vertical="center"/>
    </xf>
    <xf numFmtId="3" fontId="29" fillId="0" borderId="23" xfId="0" applyNumberFormat="1" applyFont="1" applyBorder="1" applyAlignment="1">
      <alignment horizontal="right" vertical="center"/>
    </xf>
    <xf numFmtId="0" fontId="29" fillId="0" borderId="33" xfId="57" applyFont="1" applyBorder="1" applyAlignment="1">
      <alignment horizontal="center" vertical="center" wrapText="1"/>
      <protection/>
    </xf>
    <xf numFmtId="3" fontId="29" fillId="0" borderId="0" xfId="57" applyNumberFormat="1" applyFont="1" applyBorder="1" applyAlignment="1">
      <alignment horizontal="right" vertical="center" wrapText="1"/>
      <protection/>
    </xf>
    <xf numFmtId="3" fontId="29" fillId="0" borderId="57" xfId="57" applyNumberFormat="1" applyFont="1" applyBorder="1" applyAlignment="1">
      <alignment horizontal="right" vertical="center" wrapText="1"/>
      <protection/>
    </xf>
    <xf numFmtId="0" fontId="35" fillId="23" borderId="39" xfId="57" applyFont="1" applyFill="1" applyBorder="1" applyAlignment="1">
      <alignment horizontal="left" vertical="center" wrapText="1"/>
      <protection/>
    </xf>
    <xf numFmtId="0" fontId="29" fillId="0" borderId="11" xfId="57" applyFont="1" applyFill="1" applyBorder="1" applyAlignment="1">
      <alignment horizontal="center" vertical="center" wrapText="1"/>
      <protection/>
    </xf>
    <xf numFmtId="0" fontId="38" fillId="0" borderId="11" xfId="0" applyFont="1" applyFill="1" applyBorder="1" applyAlignment="1">
      <alignment/>
    </xf>
    <xf numFmtId="0" fontId="38" fillId="0" borderId="34" xfId="0" applyFont="1" applyFill="1" applyBorder="1" applyAlignment="1">
      <alignment/>
    </xf>
    <xf numFmtId="0" fontId="35" fillId="23" borderId="58" xfId="57" applyFont="1" applyFill="1" applyBorder="1" applyAlignment="1">
      <alignment horizontal="left" vertical="center" wrapText="1"/>
      <protection/>
    </xf>
    <xf numFmtId="0" fontId="38" fillId="0" borderId="11" xfId="57" applyFont="1" applyBorder="1" applyAlignment="1">
      <alignment horizontal="center" vertical="center" wrapText="1"/>
      <protection/>
    </xf>
    <xf numFmtId="0" fontId="38" fillId="0" borderId="48" xfId="57" applyFont="1" applyBorder="1" applyAlignment="1">
      <alignment horizontal="center" vertical="center" wrapText="1"/>
      <protection/>
    </xf>
    <xf numFmtId="4" fontId="29" fillId="0" borderId="12" xfId="57" applyNumberFormat="1" applyFont="1" applyBorder="1" applyAlignment="1">
      <alignment horizontal="center" vertical="center" wrapText="1"/>
      <protection/>
    </xf>
    <xf numFmtId="4" fontId="29" fillId="0" borderId="11" xfId="57" applyNumberFormat="1" applyFont="1" applyBorder="1" applyAlignment="1">
      <alignment horizontal="center" vertical="center" wrapText="1"/>
      <protection/>
    </xf>
    <xf numFmtId="4" fontId="29" fillId="0" borderId="34" xfId="57" applyNumberFormat="1" applyFont="1" applyBorder="1" applyAlignment="1">
      <alignment horizontal="center" vertical="center" wrapText="1"/>
      <protection/>
    </xf>
    <xf numFmtId="4" fontId="29" fillId="0" borderId="11" xfId="57" applyNumberFormat="1" applyFont="1" applyFill="1" applyBorder="1" applyAlignment="1">
      <alignment horizontal="right" vertical="center" wrapText="1"/>
      <protection/>
    </xf>
    <xf numFmtId="0" fontId="29" fillId="0" borderId="60" xfId="57" applyFont="1" applyBorder="1" applyAlignment="1">
      <alignment horizontal="center" vertical="center" wrapText="1"/>
      <protection/>
    </xf>
    <xf numFmtId="0" fontId="29" fillId="0" borderId="11" xfId="57" applyFont="1" applyBorder="1" applyAlignment="1">
      <alignment horizontal="center" vertical="center" wrapText="1"/>
      <protection/>
    </xf>
    <xf numFmtId="3" fontId="29" fillId="0" borderId="11" xfId="57" applyNumberFormat="1" applyFont="1" applyBorder="1" applyAlignment="1">
      <alignment horizontal="right" vertical="center" wrapText="1"/>
      <protection/>
    </xf>
    <xf numFmtId="0" fontId="29" fillId="0" borderId="34" xfId="57" applyFont="1" applyBorder="1" applyAlignment="1">
      <alignment horizontal="center" vertical="center" wrapText="1"/>
      <protection/>
    </xf>
    <xf numFmtId="3" fontId="29" fillId="0" borderId="34" xfId="57" applyNumberFormat="1" applyFont="1" applyBorder="1" applyAlignment="1">
      <alignment horizontal="right" vertical="center" wrapText="1"/>
      <protection/>
    </xf>
    <xf numFmtId="0" fontId="29" fillId="0" borderId="48" xfId="57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3" fontId="30" fillId="0" borderId="45" xfId="57" applyNumberFormat="1" applyFont="1" applyFill="1" applyBorder="1" applyAlignment="1">
      <alignment vertical="center"/>
      <protection/>
    </xf>
    <xf numFmtId="3" fontId="30" fillId="0" borderId="45" xfId="57" applyNumberFormat="1" applyFont="1" applyBorder="1" applyAlignment="1">
      <alignment vertical="center"/>
      <protection/>
    </xf>
    <xf numFmtId="3" fontId="30" fillId="0" borderId="3" xfId="57" applyNumberFormat="1" applyFont="1" applyFill="1" applyBorder="1" applyAlignment="1">
      <alignment vertical="center"/>
      <protection/>
    </xf>
    <xf numFmtId="3" fontId="32" fillId="0" borderId="13" xfId="57" applyNumberFormat="1" applyFont="1" applyBorder="1" applyAlignment="1">
      <alignment vertical="center"/>
      <protection/>
    </xf>
    <xf numFmtId="3" fontId="32" fillId="0" borderId="14" xfId="57" applyNumberFormat="1" applyFont="1" applyBorder="1" applyAlignment="1">
      <alignment vertical="center"/>
      <protection/>
    </xf>
    <xf numFmtId="3" fontId="32" fillId="0" borderId="80" xfId="57" applyNumberFormat="1" applyFont="1" applyBorder="1" applyAlignment="1">
      <alignment vertical="center"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33" fillId="0" borderId="12" xfId="57" applyFont="1" applyFill="1" applyBorder="1" applyAlignment="1">
      <alignment vertical="center" wrapText="1"/>
      <protection/>
    </xf>
    <xf numFmtId="1" fontId="29" fillId="0" borderId="55" xfId="57" applyNumberFormat="1" applyFont="1" applyBorder="1" applyAlignment="1">
      <alignment horizontal="center" vertical="center" wrapText="1"/>
      <protection/>
    </xf>
    <xf numFmtId="0" fontId="26" fillId="0" borderId="39" xfId="57" applyFont="1" applyFill="1" applyBorder="1" applyAlignment="1">
      <alignment vertical="center" wrapText="1"/>
      <protection/>
    </xf>
    <xf numFmtId="0" fontId="32" fillId="0" borderId="39" xfId="57" applyFont="1" applyFill="1" applyBorder="1" applyAlignment="1">
      <alignment vertical="center" wrapText="1"/>
      <protection/>
    </xf>
    <xf numFmtId="0" fontId="0" fillId="0" borderId="58" xfId="0" applyFont="1" applyFill="1" applyBorder="1" applyAlignment="1">
      <alignment horizontal="center"/>
    </xf>
    <xf numFmtId="0" fontId="18" fillId="0" borderId="34" xfId="57" applyFont="1" applyFill="1" applyBorder="1" applyAlignment="1">
      <alignment horizontal="center" vertical="center" wrapText="1"/>
      <protection/>
    </xf>
    <xf numFmtId="0" fontId="18" fillId="0" borderId="55" xfId="57" applyFont="1" applyFill="1" applyBorder="1" applyAlignment="1">
      <alignment horizontal="center" vertical="center" wrapText="1"/>
      <protection/>
    </xf>
    <xf numFmtId="4" fontId="18" fillId="0" borderId="55" xfId="57" applyNumberFormat="1" applyFont="1" applyFill="1" applyBorder="1" applyAlignment="1">
      <alignment horizontal="center" vertical="center" wrapText="1"/>
      <protection/>
    </xf>
    <xf numFmtId="3" fontId="29" fillId="0" borderId="81" xfId="57" applyNumberFormat="1" applyFont="1" applyBorder="1" applyAlignment="1">
      <alignment vertical="center"/>
      <protection/>
    </xf>
    <xf numFmtId="0" fontId="27" fillId="0" borderId="0" xfId="57" applyFont="1" applyFill="1" applyBorder="1" applyAlignment="1">
      <alignment vertical="center" wrapText="1"/>
      <protection/>
    </xf>
    <xf numFmtId="0" fontId="25" fillId="0" borderId="0" xfId="57" applyFont="1" applyFill="1" applyBorder="1" applyAlignment="1">
      <alignment vertical="center" wrapText="1"/>
      <protection/>
    </xf>
    <xf numFmtId="0" fontId="0" fillId="0" borderId="42" xfId="0" applyFont="1" applyFill="1" applyBorder="1" applyAlignment="1">
      <alignment horizontal="center"/>
    </xf>
    <xf numFmtId="0" fontId="18" fillId="0" borderId="11" xfId="57" applyFont="1" applyFill="1" applyBorder="1" applyAlignment="1">
      <alignment horizontal="center" vertical="center" wrapText="1"/>
      <protection/>
    </xf>
    <xf numFmtId="4" fontId="18" fillId="0" borderId="0" xfId="57" applyNumberFormat="1" applyFont="1" applyFill="1" applyBorder="1" applyAlignment="1">
      <alignment horizontal="right" vertical="center" wrapText="1"/>
      <protection/>
    </xf>
    <xf numFmtId="0" fontId="38" fillId="0" borderId="0" xfId="0" applyFont="1" applyFill="1" applyBorder="1" applyAlignment="1">
      <alignment/>
    </xf>
    <xf numFmtId="3" fontId="27" fillId="0" borderId="11" xfId="57" applyNumberFormat="1" applyFont="1" applyFill="1" applyBorder="1" applyAlignment="1">
      <alignment vertical="center" wrapText="1"/>
      <protection/>
    </xf>
    <xf numFmtId="3" fontId="27" fillId="0" borderId="0" xfId="0" applyNumberFormat="1" applyFont="1" applyAlignment="1">
      <alignment/>
    </xf>
    <xf numFmtId="3" fontId="28" fillId="0" borderId="42" xfId="57" applyNumberFormat="1" applyFont="1" applyFill="1" applyBorder="1" applyAlignment="1">
      <alignment vertical="center" wrapText="1"/>
      <protection/>
    </xf>
    <xf numFmtId="3" fontId="0" fillId="0" borderId="0" xfId="0" applyNumberFormat="1" applyFont="1" applyAlignment="1">
      <alignment horizontal="right"/>
    </xf>
    <xf numFmtId="0" fontId="39" fillId="0" borderId="19" xfId="57" applyFont="1" applyFill="1" applyBorder="1" applyAlignment="1">
      <alignment horizontal="center" vertical="center" wrapText="1"/>
      <protection/>
    </xf>
    <xf numFmtId="3" fontId="32" fillId="0" borderId="12" xfId="57" applyNumberFormat="1" applyFont="1" applyFill="1" applyBorder="1" applyAlignment="1">
      <alignment horizontal="right" vertical="center"/>
      <protection/>
    </xf>
    <xf numFmtId="3" fontId="32" fillId="0" borderId="11" xfId="57" applyNumberFormat="1" applyFont="1" applyFill="1" applyBorder="1" applyAlignment="1">
      <alignment horizontal="right" vertical="center"/>
      <protection/>
    </xf>
    <xf numFmtId="3" fontId="32" fillId="0" borderId="34" xfId="57" applyNumberFormat="1" applyFont="1" applyFill="1" applyBorder="1" applyAlignment="1">
      <alignment horizontal="right" vertical="center"/>
      <protection/>
    </xf>
    <xf numFmtId="0" fontId="29" fillId="0" borderId="12" xfId="57" applyFont="1" applyBorder="1" applyAlignment="1">
      <alignment horizontal="center" vertical="center" wrapText="1"/>
      <protection/>
    </xf>
    <xf numFmtId="0" fontId="38" fillId="0" borderId="11" xfId="0" applyFont="1" applyBorder="1" applyAlignment="1">
      <alignment/>
    </xf>
    <xf numFmtId="0" fontId="38" fillId="0" borderId="34" xfId="0" applyFont="1" applyBorder="1" applyAlignment="1">
      <alignment/>
    </xf>
    <xf numFmtId="3" fontId="29" fillId="0" borderId="12" xfId="57" applyNumberFormat="1" applyFont="1" applyBorder="1" applyAlignment="1">
      <alignment horizontal="right" vertical="center" wrapText="1"/>
      <protection/>
    </xf>
    <xf numFmtId="3" fontId="38" fillId="0" borderId="11" xfId="0" applyNumberFormat="1" applyFont="1" applyBorder="1" applyAlignment="1">
      <alignment horizontal="right" vertical="center"/>
    </xf>
    <xf numFmtId="3" fontId="38" fillId="0" borderId="34" xfId="0" applyNumberFormat="1" applyFont="1" applyBorder="1" applyAlignment="1">
      <alignment horizontal="right" vertical="center"/>
    </xf>
    <xf numFmtId="4" fontId="32" fillId="0" borderId="12" xfId="57" applyNumberFormat="1" applyFont="1" applyBorder="1" applyAlignment="1">
      <alignment horizontal="center" vertical="center" wrapText="1"/>
      <protection/>
    </xf>
    <xf numFmtId="0" fontId="34" fillId="0" borderId="11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0" fontId="38" fillId="0" borderId="42" xfId="0" applyFont="1" applyBorder="1" applyAlignment="1">
      <alignment horizontal="center"/>
    </xf>
    <xf numFmtId="0" fontId="38" fillId="0" borderId="43" xfId="0" applyFont="1" applyBorder="1" applyAlignment="1">
      <alignment horizontal="center"/>
    </xf>
    <xf numFmtId="0" fontId="29" fillId="0" borderId="33" xfId="57" applyFont="1" applyBorder="1" applyAlignment="1">
      <alignment horizontal="left" vertical="center" wrapText="1"/>
      <protection/>
    </xf>
    <xf numFmtId="0" fontId="29" fillId="0" borderId="62" xfId="57" applyFont="1" applyBorder="1" applyAlignment="1">
      <alignment horizontal="left" vertical="center" wrapText="1"/>
      <protection/>
    </xf>
    <xf numFmtId="0" fontId="29" fillId="0" borderId="0" xfId="57" applyFont="1" applyBorder="1" applyAlignment="1">
      <alignment horizontal="left" vertical="center" wrapText="1"/>
      <protection/>
    </xf>
    <xf numFmtId="0" fontId="29" fillId="0" borderId="47" xfId="57" applyFont="1" applyBorder="1" applyAlignment="1">
      <alignment horizontal="left" vertical="center" wrapText="1"/>
      <protection/>
    </xf>
    <xf numFmtId="0" fontId="29" fillId="0" borderId="57" xfId="57" applyFont="1" applyBorder="1" applyAlignment="1">
      <alignment horizontal="left" vertical="center" wrapText="1"/>
      <protection/>
    </xf>
    <xf numFmtId="0" fontId="29" fillId="0" borderId="76" xfId="57" applyFont="1" applyBorder="1" applyAlignment="1">
      <alignment horizontal="left" vertical="center" wrapText="1"/>
      <protection/>
    </xf>
    <xf numFmtId="0" fontId="27" fillId="0" borderId="58" xfId="57" applyFont="1" applyFill="1" applyBorder="1" applyAlignment="1">
      <alignment horizontal="left" vertical="center" wrapText="1"/>
      <protection/>
    </xf>
    <xf numFmtId="0" fontId="27" fillId="0" borderId="39" xfId="57" applyFont="1" applyFill="1" applyBorder="1" applyAlignment="1">
      <alignment horizontal="left" vertical="center" wrapText="1"/>
      <protection/>
    </xf>
    <xf numFmtId="4" fontId="29" fillId="0" borderId="11" xfId="57" applyNumberFormat="1" applyFont="1" applyBorder="1" applyAlignment="1">
      <alignment horizontal="right" vertical="center" wrapText="1"/>
      <protection/>
    </xf>
    <xf numFmtId="0" fontId="29" fillId="0" borderId="0" xfId="57" applyFont="1" applyBorder="1" applyAlignment="1">
      <alignment horizontal="center" vertical="center" wrapText="1"/>
      <protection/>
    </xf>
    <xf numFmtId="0" fontId="29" fillId="0" borderId="57" xfId="57" applyFont="1" applyBorder="1" applyAlignment="1">
      <alignment horizontal="center" vertical="center" wrapText="1"/>
      <protection/>
    </xf>
    <xf numFmtId="3" fontId="32" fillId="0" borderId="11" xfId="57" applyNumberFormat="1" applyFont="1" applyBorder="1" applyAlignment="1">
      <alignment horizontal="right" vertical="center" wrapText="1"/>
      <protection/>
    </xf>
    <xf numFmtId="3" fontId="34" fillId="0" borderId="11" xfId="0" applyNumberFormat="1" applyFont="1" applyBorder="1" applyAlignment="1">
      <alignment horizontal="right" vertical="center"/>
    </xf>
    <xf numFmtId="3" fontId="34" fillId="0" borderId="34" xfId="0" applyNumberFormat="1" applyFont="1" applyBorder="1" applyAlignment="1">
      <alignment horizontal="right" vertical="center"/>
    </xf>
    <xf numFmtId="0" fontId="29" fillId="0" borderId="12" xfId="57" applyFont="1" applyFill="1" applyBorder="1" applyAlignment="1">
      <alignment horizontal="center" vertical="center" wrapText="1"/>
      <protection/>
    </xf>
    <xf numFmtId="0" fontId="29" fillId="0" borderId="34" xfId="57" applyFont="1" applyFill="1" applyBorder="1" applyAlignment="1">
      <alignment horizontal="center" vertical="center" wrapText="1"/>
      <protection/>
    </xf>
    <xf numFmtId="0" fontId="38" fillId="0" borderId="12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34" xfId="0" applyFont="1" applyFill="1" applyBorder="1" applyAlignment="1">
      <alignment horizontal="center" vertical="center" wrapText="1"/>
    </xf>
    <xf numFmtId="3" fontId="38" fillId="0" borderId="12" xfId="0" applyNumberFormat="1" applyFont="1" applyFill="1" applyBorder="1" applyAlignment="1">
      <alignment horizontal="right" vertical="center" wrapText="1"/>
    </xf>
    <xf numFmtId="3" fontId="38" fillId="0" borderId="11" xfId="0" applyNumberFormat="1" applyFont="1" applyFill="1" applyBorder="1" applyAlignment="1">
      <alignment horizontal="right" vertical="center" wrapText="1"/>
    </xf>
    <xf numFmtId="3" fontId="38" fillId="0" borderId="34" xfId="0" applyNumberFormat="1" applyFont="1" applyFill="1" applyBorder="1" applyAlignment="1">
      <alignment horizontal="right" vertical="center" wrapText="1"/>
    </xf>
    <xf numFmtId="0" fontId="38" fillId="0" borderId="11" xfId="0" applyFont="1" applyBorder="1" applyAlignment="1">
      <alignment vertical="center"/>
    </xf>
    <xf numFmtId="0" fontId="38" fillId="0" borderId="34" xfId="0" applyFont="1" applyBorder="1" applyAlignment="1">
      <alignment vertical="center"/>
    </xf>
    <xf numFmtId="4" fontId="38" fillId="0" borderId="12" xfId="0" applyNumberFormat="1" applyFont="1" applyFill="1" applyBorder="1" applyAlignment="1">
      <alignment horizontal="center" vertical="center" wrapText="1"/>
    </xf>
    <xf numFmtId="0" fontId="32" fillId="0" borderId="35" xfId="57" applyFont="1" applyFill="1" applyBorder="1" applyAlignment="1">
      <alignment horizontal="center" vertical="center" wrapText="1"/>
      <protection/>
    </xf>
    <xf numFmtId="0" fontId="32" fillId="0" borderId="42" xfId="57" applyFont="1" applyFill="1" applyBorder="1" applyAlignment="1">
      <alignment horizontal="center" vertical="center" wrapText="1"/>
      <protection/>
    </xf>
    <xf numFmtId="0" fontId="32" fillId="0" borderId="43" xfId="57" applyFont="1" applyFill="1" applyBorder="1" applyAlignment="1">
      <alignment horizontal="center" vertical="center" wrapText="1"/>
      <protection/>
    </xf>
    <xf numFmtId="4" fontId="27" fillId="0" borderId="33" xfId="57" applyNumberFormat="1" applyFont="1" applyBorder="1" applyAlignment="1">
      <alignment horizontal="right" vertical="center" wrapText="1"/>
      <protection/>
    </xf>
    <xf numFmtId="4" fontId="27" fillId="0" borderId="0" xfId="57" applyNumberFormat="1" applyFont="1" applyBorder="1" applyAlignment="1">
      <alignment horizontal="right" vertical="center" wrapText="1"/>
      <protection/>
    </xf>
    <xf numFmtId="4" fontId="27" fillId="0" borderId="57" xfId="57" applyNumberFormat="1" applyFont="1" applyBorder="1" applyAlignment="1">
      <alignment horizontal="right" vertical="center" wrapText="1"/>
      <protection/>
    </xf>
    <xf numFmtId="0" fontId="27" fillId="0" borderId="35" xfId="57" applyFont="1" applyFill="1" applyBorder="1" applyAlignment="1">
      <alignment horizontal="center" vertical="center" wrapText="1"/>
      <protection/>
    </xf>
    <xf numFmtId="0" fontId="27" fillId="0" borderId="33" xfId="57" applyFont="1" applyFill="1" applyBorder="1" applyAlignment="1">
      <alignment horizontal="center" vertical="center"/>
      <protection/>
    </xf>
    <xf numFmtId="0" fontId="27" fillId="0" borderId="62" xfId="57" applyFont="1" applyFill="1" applyBorder="1" applyAlignment="1">
      <alignment horizontal="center" vertical="center"/>
      <protection/>
    </xf>
    <xf numFmtId="0" fontId="27" fillId="0" borderId="42" xfId="57" applyFont="1" applyFill="1" applyBorder="1" applyAlignment="1">
      <alignment horizontal="center" vertical="center"/>
      <protection/>
    </xf>
    <xf numFmtId="0" fontId="27" fillId="0" borderId="0" xfId="57" applyFont="1" applyFill="1" applyBorder="1" applyAlignment="1">
      <alignment horizontal="center" vertical="center"/>
      <protection/>
    </xf>
    <xf numFmtId="0" fontId="27" fillId="0" borderId="47" xfId="57" applyFont="1" applyFill="1" applyBorder="1" applyAlignment="1">
      <alignment horizontal="center" vertical="center"/>
      <protection/>
    </xf>
    <xf numFmtId="0" fontId="27" fillId="0" borderId="43" xfId="57" applyFont="1" applyFill="1" applyBorder="1" applyAlignment="1">
      <alignment horizontal="center" vertical="center"/>
      <protection/>
    </xf>
    <xf numFmtId="0" fontId="27" fillId="0" borderId="57" xfId="57" applyFont="1" applyFill="1" applyBorder="1" applyAlignment="1">
      <alignment horizontal="center" vertical="center"/>
      <protection/>
    </xf>
    <xf numFmtId="0" fontId="27" fillId="0" borderId="76" xfId="57" applyFont="1" applyFill="1" applyBorder="1" applyAlignment="1">
      <alignment horizontal="center" vertical="center"/>
      <protection/>
    </xf>
    <xf numFmtId="3" fontId="41" fillId="0" borderId="33" xfId="57" applyNumberFormat="1" applyFont="1" applyBorder="1" applyAlignment="1">
      <alignment horizontal="right" vertical="center" wrapText="1"/>
      <protection/>
    </xf>
    <xf numFmtId="3" fontId="41" fillId="0" borderId="0" xfId="57" applyNumberFormat="1" applyFont="1" applyBorder="1" applyAlignment="1">
      <alignment horizontal="right" vertical="center" wrapText="1"/>
      <protection/>
    </xf>
    <xf numFmtId="3" fontId="41" fillId="0" borderId="57" xfId="57" applyNumberFormat="1" applyFont="1" applyBorder="1" applyAlignment="1">
      <alignment horizontal="right" vertical="center" wrapText="1"/>
      <protection/>
    </xf>
    <xf numFmtId="0" fontId="25" fillId="0" borderId="12" xfId="57" applyFont="1" applyBorder="1" applyAlignment="1">
      <alignment horizontal="center" vertical="center" wrapText="1"/>
      <protection/>
    </xf>
    <xf numFmtId="0" fontId="25" fillId="0" borderId="11" xfId="57" applyFont="1" applyBorder="1" applyAlignment="1">
      <alignment horizontal="center" vertical="center" wrapText="1"/>
      <protection/>
    </xf>
    <xf numFmtId="0" fontId="25" fillId="0" borderId="60" xfId="57" applyFont="1" applyBorder="1" applyAlignment="1">
      <alignment horizontal="center" vertical="center" wrapText="1"/>
      <protection/>
    </xf>
    <xf numFmtId="3" fontId="41" fillId="0" borderId="12" xfId="57" applyNumberFormat="1" applyFont="1" applyBorder="1" applyAlignment="1">
      <alignment horizontal="right" vertical="center"/>
      <protection/>
    </xf>
    <xf numFmtId="3" fontId="41" fillId="0" borderId="11" xfId="57" applyNumberFormat="1" applyFont="1" applyBorder="1" applyAlignment="1">
      <alignment horizontal="right" vertical="center"/>
      <protection/>
    </xf>
    <xf numFmtId="3" fontId="41" fillId="0" borderId="34" xfId="57" applyNumberFormat="1" applyFont="1" applyBorder="1" applyAlignment="1">
      <alignment horizontal="right" vertical="center"/>
      <protection/>
    </xf>
    <xf numFmtId="0" fontId="25" fillId="0" borderId="48" xfId="57" applyFont="1" applyBorder="1" applyAlignment="1">
      <alignment horizontal="center" vertical="center" wrapText="1"/>
      <protection/>
    </xf>
    <xf numFmtId="0" fontId="46" fillId="0" borderId="48" xfId="57" applyFont="1" applyBorder="1" applyAlignment="1">
      <alignment horizontal="center" vertical="center" wrapText="1"/>
      <protection/>
    </xf>
    <xf numFmtId="0" fontId="41" fillId="0" borderId="11" xfId="57" applyFont="1" applyBorder="1" applyAlignment="1">
      <alignment horizontal="center" vertical="center" wrapText="1"/>
      <protection/>
    </xf>
    <xf numFmtId="0" fontId="41" fillId="0" borderId="34" xfId="57" applyFont="1" applyBorder="1" applyAlignment="1">
      <alignment horizontal="center" vertical="center" wrapText="1"/>
      <protection/>
    </xf>
    <xf numFmtId="3" fontId="32" fillId="0" borderId="48" xfId="57" applyNumberFormat="1" applyFont="1" applyFill="1" applyBorder="1" applyAlignment="1">
      <alignment horizontal="right" vertical="center"/>
      <protection/>
    </xf>
    <xf numFmtId="3" fontId="32" fillId="0" borderId="60" xfId="57" applyNumberFormat="1" applyFont="1" applyFill="1" applyBorder="1" applyAlignment="1">
      <alignment horizontal="right" vertical="center"/>
      <protection/>
    </xf>
    <xf numFmtId="3" fontId="29" fillId="0" borderId="11" xfId="57" applyNumberFormat="1" applyFont="1" applyFill="1" applyBorder="1" applyAlignment="1">
      <alignment horizontal="right" vertical="center" wrapText="1"/>
      <protection/>
    </xf>
    <xf numFmtId="3" fontId="38" fillId="0" borderId="11" xfId="0" applyNumberFormat="1" applyFont="1" applyFill="1" applyBorder="1" applyAlignment="1">
      <alignment horizontal="right" vertical="center"/>
    </xf>
    <xf numFmtId="3" fontId="38" fillId="0" borderId="34" xfId="0" applyNumberFormat="1" applyFont="1" applyFill="1" applyBorder="1" applyAlignment="1">
      <alignment horizontal="right" vertical="center"/>
    </xf>
    <xf numFmtId="0" fontId="38" fillId="0" borderId="33" xfId="0" applyFont="1" applyFill="1" applyBorder="1" applyAlignment="1">
      <alignment horizontal="left" vertical="center" wrapText="1"/>
    </xf>
    <xf numFmtId="0" fontId="38" fillId="0" borderId="62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8" fillId="0" borderId="47" xfId="0" applyFont="1" applyFill="1" applyBorder="1" applyAlignment="1">
      <alignment horizontal="left" vertical="center" wrapText="1"/>
    </xf>
    <xf numFmtId="0" fontId="38" fillId="0" borderId="57" xfId="0" applyFont="1" applyFill="1" applyBorder="1" applyAlignment="1">
      <alignment horizontal="left" vertical="center" wrapText="1"/>
    </xf>
    <xf numFmtId="0" fontId="38" fillId="0" borderId="76" xfId="0" applyFont="1" applyFill="1" applyBorder="1" applyAlignment="1">
      <alignment horizontal="left" vertical="center" wrapText="1"/>
    </xf>
    <xf numFmtId="4" fontId="29" fillId="0" borderId="0" xfId="57" applyNumberFormat="1" applyFont="1" applyBorder="1" applyAlignment="1">
      <alignment horizontal="right" vertical="center" wrapText="1"/>
      <protection/>
    </xf>
    <xf numFmtId="4" fontId="29" fillId="0" borderId="57" xfId="57" applyNumberFormat="1" applyFont="1" applyBorder="1" applyAlignment="1">
      <alignment horizontal="right" vertical="center" wrapText="1"/>
      <protection/>
    </xf>
    <xf numFmtId="4" fontId="29" fillId="0" borderId="0" xfId="57" applyNumberFormat="1" applyFont="1" applyFill="1" applyBorder="1" applyAlignment="1">
      <alignment horizontal="right" vertical="center" wrapText="1"/>
      <protection/>
    </xf>
    <xf numFmtId="4" fontId="29" fillId="0" borderId="57" xfId="57" applyNumberFormat="1" applyFont="1" applyFill="1" applyBorder="1" applyAlignment="1">
      <alignment horizontal="right" vertical="center" wrapText="1"/>
      <protection/>
    </xf>
    <xf numFmtId="3" fontId="29" fillId="0" borderId="0" xfId="57" applyNumberFormat="1" applyFont="1" applyFill="1" applyBorder="1" applyAlignment="1">
      <alignment horizontal="right" vertical="center" wrapText="1"/>
      <protection/>
    </xf>
    <xf numFmtId="3" fontId="29" fillId="0" borderId="57" xfId="57" applyNumberFormat="1" applyFont="1" applyFill="1" applyBorder="1" applyAlignment="1">
      <alignment horizontal="right" vertical="center" wrapText="1"/>
      <protection/>
    </xf>
    <xf numFmtId="3" fontId="29" fillId="0" borderId="62" xfId="57" applyNumberFormat="1" applyFont="1" applyBorder="1" applyAlignment="1">
      <alignment horizontal="right" vertical="center" wrapText="1"/>
      <protection/>
    </xf>
    <xf numFmtId="3" fontId="29" fillId="0" borderId="47" xfId="57" applyNumberFormat="1" applyFont="1" applyBorder="1" applyAlignment="1">
      <alignment horizontal="right" vertical="center" wrapText="1"/>
      <protection/>
    </xf>
    <xf numFmtId="3" fontId="29" fillId="0" borderId="76" xfId="57" applyNumberFormat="1" applyFont="1" applyBorder="1" applyAlignment="1">
      <alignment horizontal="right" vertical="center" wrapText="1"/>
      <protection/>
    </xf>
    <xf numFmtId="0" fontId="27" fillId="0" borderId="42" xfId="57" applyFont="1" applyFill="1" applyBorder="1" applyAlignment="1">
      <alignment horizontal="center" vertical="center" wrapText="1"/>
      <protection/>
    </xf>
    <xf numFmtId="0" fontId="27" fillId="0" borderId="33" xfId="57" applyFont="1" applyFill="1" applyBorder="1" applyAlignment="1">
      <alignment horizontal="center" vertical="center" wrapText="1"/>
      <protection/>
    </xf>
    <xf numFmtId="0" fontId="27" fillId="0" borderId="62" xfId="57" applyFont="1" applyFill="1" applyBorder="1" applyAlignment="1">
      <alignment horizontal="center" vertical="center" wrapText="1"/>
      <protection/>
    </xf>
    <xf numFmtId="0" fontId="27" fillId="0" borderId="0" xfId="57" applyFont="1" applyFill="1" applyBorder="1" applyAlignment="1">
      <alignment horizontal="center" vertical="center" wrapText="1"/>
      <protection/>
    </xf>
    <xf numFmtId="0" fontId="27" fillId="0" borderId="47" xfId="57" applyFont="1" applyFill="1" applyBorder="1" applyAlignment="1">
      <alignment horizontal="center" vertical="center" wrapText="1"/>
      <protection/>
    </xf>
    <xf numFmtId="0" fontId="27" fillId="0" borderId="43" xfId="57" applyFont="1" applyFill="1" applyBorder="1" applyAlignment="1">
      <alignment horizontal="center" vertical="center" wrapText="1"/>
      <protection/>
    </xf>
    <xf numFmtId="0" fontId="27" fillId="0" borderId="57" xfId="57" applyFont="1" applyFill="1" applyBorder="1" applyAlignment="1">
      <alignment horizontal="center" vertical="center" wrapText="1"/>
      <protection/>
    </xf>
    <xf numFmtId="0" fontId="27" fillId="0" borderId="76" xfId="57" applyFont="1" applyFill="1" applyBorder="1" applyAlignment="1">
      <alignment horizontal="center" vertical="center" wrapText="1"/>
      <protection/>
    </xf>
    <xf numFmtId="0" fontId="25" fillId="0" borderId="35" xfId="57" applyFont="1" applyBorder="1" applyAlignment="1">
      <alignment horizontal="center" vertical="center" wrapText="1"/>
      <protection/>
    </xf>
    <xf numFmtId="0" fontId="25" fillId="0" borderId="33" xfId="57" applyFont="1" applyBorder="1" applyAlignment="1">
      <alignment horizontal="center" vertical="center" wrapText="1"/>
      <protection/>
    </xf>
    <xf numFmtId="0" fontId="25" fillId="0" borderId="62" xfId="57" applyFont="1" applyBorder="1" applyAlignment="1">
      <alignment horizontal="center" vertical="center" wrapText="1"/>
      <protection/>
    </xf>
    <xf numFmtId="0" fontId="25" fillId="0" borderId="43" xfId="57" applyFont="1" applyBorder="1" applyAlignment="1">
      <alignment horizontal="center" vertical="center" wrapText="1"/>
      <protection/>
    </xf>
    <xf numFmtId="0" fontId="25" fillId="0" borderId="57" xfId="57" applyFont="1" applyBorder="1" applyAlignment="1">
      <alignment horizontal="center" vertical="center" wrapText="1"/>
      <protection/>
    </xf>
    <xf numFmtId="0" fontId="25" fillId="0" borderId="76" xfId="57" applyFont="1" applyBorder="1" applyAlignment="1">
      <alignment horizontal="center" vertical="center" wrapText="1"/>
      <protection/>
    </xf>
    <xf numFmtId="4" fontId="32" fillId="0" borderId="33" xfId="57" applyNumberFormat="1" applyFont="1" applyBorder="1" applyAlignment="1">
      <alignment horizontal="right" vertical="center" wrapText="1"/>
      <protection/>
    </xf>
    <xf numFmtId="4" fontId="32" fillId="0" borderId="0" xfId="57" applyNumberFormat="1" applyFont="1" applyBorder="1" applyAlignment="1">
      <alignment horizontal="right" vertical="center" wrapText="1"/>
      <protection/>
    </xf>
    <xf numFmtId="4" fontId="32" fillId="0" borderId="57" xfId="57" applyNumberFormat="1" applyFont="1" applyBorder="1" applyAlignment="1">
      <alignment horizontal="right" vertical="center" wrapText="1"/>
      <protection/>
    </xf>
    <xf numFmtId="0" fontId="33" fillId="0" borderId="35" xfId="57" applyFont="1" applyFill="1" applyBorder="1" applyAlignment="1">
      <alignment horizontal="center" vertical="center" wrapText="1"/>
      <protection/>
    </xf>
    <xf numFmtId="0" fontId="33" fillId="0" borderId="33" xfId="57" applyFont="1" applyFill="1" applyBorder="1" applyAlignment="1">
      <alignment horizontal="center" vertical="center"/>
      <protection/>
    </xf>
    <xf numFmtId="0" fontId="33" fillId="0" borderId="62" xfId="57" applyFont="1" applyFill="1" applyBorder="1" applyAlignment="1">
      <alignment horizontal="center" vertical="center"/>
      <protection/>
    </xf>
    <xf numFmtId="0" fontId="33" fillId="0" borderId="42" xfId="57" applyFont="1" applyFill="1" applyBorder="1" applyAlignment="1">
      <alignment horizontal="center" vertical="center"/>
      <protection/>
    </xf>
    <xf numFmtId="0" fontId="33" fillId="0" borderId="0" xfId="57" applyFont="1" applyFill="1" applyBorder="1" applyAlignment="1">
      <alignment horizontal="center" vertical="center"/>
      <protection/>
    </xf>
    <xf numFmtId="0" fontId="33" fillId="0" borderId="47" xfId="57" applyFont="1" applyFill="1" applyBorder="1" applyAlignment="1">
      <alignment horizontal="center" vertical="center"/>
      <protection/>
    </xf>
    <xf numFmtId="0" fontId="33" fillId="0" borderId="43" xfId="57" applyFont="1" applyFill="1" applyBorder="1" applyAlignment="1">
      <alignment horizontal="center" vertical="center"/>
      <protection/>
    </xf>
    <xf numFmtId="0" fontId="33" fillId="0" borderId="57" xfId="57" applyFont="1" applyFill="1" applyBorder="1" applyAlignment="1">
      <alignment horizontal="center" vertical="center"/>
      <protection/>
    </xf>
    <xf numFmtId="0" fontId="33" fillId="0" borderId="76" xfId="57" applyFont="1" applyFill="1" applyBorder="1" applyAlignment="1">
      <alignment horizontal="center" vertical="center"/>
      <protection/>
    </xf>
    <xf numFmtId="3" fontId="41" fillId="0" borderId="12" xfId="57" applyNumberFormat="1" applyFont="1" applyBorder="1" applyAlignment="1">
      <alignment horizontal="right" vertical="center" wrapText="1"/>
      <protection/>
    </xf>
    <xf numFmtId="3" fontId="41" fillId="0" borderId="11" xfId="57" applyNumberFormat="1" applyFont="1" applyBorder="1" applyAlignment="1">
      <alignment horizontal="right" vertical="center" wrapText="1"/>
      <protection/>
    </xf>
    <xf numFmtId="3" fontId="41" fillId="0" borderId="34" xfId="57" applyNumberFormat="1" applyFont="1" applyBorder="1" applyAlignment="1">
      <alignment horizontal="right" vertical="center" wrapText="1"/>
      <protection/>
    </xf>
    <xf numFmtId="1" fontId="26" fillId="0" borderId="64" xfId="57" applyNumberFormat="1" applyFont="1" applyBorder="1" applyAlignment="1">
      <alignment horizontal="center" vertical="center"/>
      <protection/>
    </xf>
    <xf numFmtId="1" fontId="26" fillId="0" borderId="40" xfId="57" applyNumberFormat="1" applyFont="1" applyBorder="1" applyAlignment="1">
      <alignment horizontal="center" vertical="center"/>
      <protection/>
    </xf>
    <xf numFmtId="0" fontId="18" fillId="0" borderId="12" xfId="57" applyFont="1" applyBorder="1" applyAlignment="1">
      <alignment horizontal="center" vertical="center" wrapText="1"/>
      <protection/>
    </xf>
    <xf numFmtId="0" fontId="18" fillId="0" borderId="11" xfId="57" applyFont="1" applyBorder="1" applyAlignment="1">
      <alignment horizontal="center" vertical="center" wrapText="1"/>
      <protection/>
    </xf>
    <xf numFmtId="0" fontId="46" fillId="0" borderId="12" xfId="57" applyFont="1" applyBorder="1" applyAlignment="1">
      <alignment horizontal="center" vertical="center" wrapText="1"/>
      <protection/>
    </xf>
    <xf numFmtId="0" fontId="46" fillId="0" borderId="11" xfId="57" applyFont="1" applyBorder="1" applyAlignment="1">
      <alignment horizontal="center" vertical="center" wrapText="1"/>
      <protection/>
    </xf>
    <xf numFmtId="0" fontId="46" fillId="0" borderId="34" xfId="57" applyFont="1" applyBorder="1" applyAlignment="1">
      <alignment horizontal="center" vertical="center" wrapText="1"/>
      <protection/>
    </xf>
    <xf numFmtId="4" fontId="26" fillId="0" borderId="12" xfId="57" applyNumberFormat="1" applyFont="1" applyBorder="1" applyAlignment="1">
      <alignment horizontal="center" vertical="center" wrapText="1"/>
      <protection/>
    </xf>
    <xf numFmtId="4" fontId="26" fillId="0" borderId="34" xfId="57" applyNumberFormat="1" applyFont="1" applyBorder="1" applyAlignment="1">
      <alignment horizontal="center" vertical="center" wrapText="1"/>
      <protection/>
    </xf>
    <xf numFmtId="0" fontId="18" fillId="0" borderId="33" xfId="57" applyFont="1" applyBorder="1" applyAlignment="1">
      <alignment horizontal="center" vertical="center" wrapText="1"/>
      <protection/>
    </xf>
    <xf numFmtId="0" fontId="18" fillId="0" borderId="0" xfId="57" applyFont="1" applyBorder="1" applyAlignment="1">
      <alignment horizontal="center" vertical="center" wrapText="1"/>
      <protection/>
    </xf>
    <xf numFmtId="3" fontId="18" fillId="0" borderId="12" xfId="57" applyNumberFormat="1" applyFont="1" applyBorder="1" applyAlignment="1">
      <alignment horizontal="center" vertical="center" wrapText="1"/>
      <protection/>
    </xf>
    <xf numFmtId="3" fontId="18" fillId="0" borderId="34" xfId="57" applyNumberFormat="1" applyFont="1" applyBorder="1" applyAlignment="1">
      <alignment horizontal="center" vertical="center" wrapText="1"/>
      <protection/>
    </xf>
    <xf numFmtId="4" fontId="26" fillId="0" borderId="33" xfId="57" applyNumberFormat="1" applyFont="1" applyBorder="1" applyAlignment="1">
      <alignment horizontal="right" vertical="center" wrapText="1"/>
      <protection/>
    </xf>
    <xf numFmtId="4" fontId="26" fillId="0" borderId="0" xfId="57" applyNumberFormat="1" applyFont="1" applyBorder="1" applyAlignment="1">
      <alignment horizontal="right" vertical="center" wrapText="1"/>
      <protection/>
    </xf>
    <xf numFmtId="4" fontId="26" fillId="0" borderId="57" xfId="57" applyNumberFormat="1" applyFont="1" applyBorder="1" applyAlignment="1">
      <alignment horizontal="right" vertical="center" wrapText="1"/>
      <protection/>
    </xf>
    <xf numFmtId="4" fontId="32" fillId="0" borderId="11" xfId="57" applyNumberFormat="1" applyFont="1" applyBorder="1" applyAlignment="1">
      <alignment horizontal="center" vertical="center" wrapText="1"/>
      <protection/>
    </xf>
    <xf numFmtId="3" fontId="29" fillId="0" borderId="33" xfId="57" applyNumberFormat="1" applyFont="1" applyBorder="1" applyAlignment="1">
      <alignment horizontal="right" vertical="center" wrapText="1"/>
      <protection/>
    </xf>
    <xf numFmtId="4" fontId="29" fillId="0" borderId="33" xfId="57" applyNumberFormat="1" applyFont="1" applyBorder="1" applyAlignment="1">
      <alignment horizontal="right" vertical="center" wrapText="1"/>
      <protection/>
    </xf>
    <xf numFmtId="3" fontId="32" fillId="0" borderId="12" xfId="57" applyNumberFormat="1" applyFont="1" applyFill="1" applyBorder="1" applyAlignment="1">
      <alignment horizontal="center" vertical="center"/>
      <protection/>
    </xf>
    <xf numFmtId="3" fontId="32" fillId="0" borderId="11" xfId="57" applyNumberFormat="1" applyFont="1" applyFill="1" applyBorder="1" applyAlignment="1">
      <alignment horizontal="center" vertical="center"/>
      <protection/>
    </xf>
    <xf numFmtId="3" fontId="32" fillId="0" borderId="34" xfId="57" applyNumberFormat="1" applyFont="1" applyFill="1" applyBorder="1" applyAlignment="1">
      <alignment horizontal="center" vertical="center"/>
      <protection/>
    </xf>
    <xf numFmtId="0" fontId="41" fillId="0" borderId="35" xfId="57" applyFont="1" applyFill="1" applyBorder="1" applyAlignment="1">
      <alignment horizontal="center" vertical="center" wrapText="1"/>
      <protection/>
    </xf>
    <xf numFmtId="0" fontId="41" fillId="0" borderId="33" xfId="57" applyFont="1" applyFill="1" applyBorder="1" applyAlignment="1">
      <alignment horizontal="center" vertical="center"/>
      <protection/>
    </xf>
    <xf numFmtId="0" fontId="41" fillId="0" borderId="62" xfId="57" applyFont="1" applyFill="1" applyBorder="1" applyAlignment="1">
      <alignment horizontal="center" vertical="center"/>
      <protection/>
    </xf>
    <xf numFmtId="0" fontId="41" fillId="0" borderId="42" xfId="57" applyFont="1" applyFill="1" applyBorder="1" applyAlignment="1">
      <alignment horizontal="center" vertical="center"/>
      <protection/>
    </xf>
    <xf numFmtId="0" fontId="41" fillId="0" borderId="0" xfId="57" applyFont="1" applyFill="1" applyBorder="1" applyAlignment="1">
      <alignment horizontal="center" vertical="center"/>
      <protection/>
    </xf>
    <xf numFmtId="0" fontId="41" fillId="0" borderId="47" xfId="57" applyFont="1" applyFill="1" applyBorder="1" applyAlignment="1">
      <alignment horizontal="center" vertical="center"/>
      <protection/>
    </xf>
    <xf numFmtId="0" fontId="41" fillId="0" borderId="43" xfId="57" applyFont="1" applyFill="1" applyBorder="1" applyAlignment="1">
      <alignment horizontal="center" vertical="center"/>
      <protection/>
    </xf>
    <xf numFmtId="0" fontId="41" fillId="0" borderId="57" xfId="57" applyFont="1" applyFill="1" applyBorder="1" applyAlignment="1">
      <alignment horizontal="center" vertical="center"/>
      <protection/>
    </xf>
    <xf numFmtId="0" fontId="41" fillId="0" borderId="76" xfId="57" applyFont="1" applyFill="1" applyBorder="1" applyAlignment="1">
      <alignment horizontal="center" vertical="center"/>
      <protection/>
    </xf>
    <xf numFmtId="0" fontId="29" fillId="0" borderId="0" xfId="57" applyFont="1" applyFill="1" applyBorder="1" applyAlignment="1">
      <alignment horizontal="left" vertical="center" wrapText="1"/>
      <protection/>
    </xf>
    <xf numFmtId="0" fontId="29" fillId="0" borderId="47" xfId="57" applyFont="1" applyFill="1" applyBorder="1" applyAlignment="1">
      <alignment horizontal="left" vertical="center" wrapText="1"/>
      <protection/>
    </xf>
    <xf numFmtId="0" fontId="29" fillId="0" borderId="57" xfId="57" applyFont="1" applyFill="1" applyBorder="1" applyAlignment="1">
      <alignment horizontal="left" vertical="center" wrapText="1"/>
      <protection/>
    </xf>
    <xf numFmtId="0" fontId="29" fillId="0" borderId="76" xfId="57" applyFont="1" applyFill="1" applyBorder="1" applyAlignment="1">
      <alignment horizontal="left" vertical="center" wrapText="1"/>
      <protection/>
    </xf>
    <xf numFmtId="3" fontId="27" fillId="23" borderId="12" xfId="57" applyNumberFormat="1" applyFont="1" applyFill="1" applyBorder="1" applyAlignment="1">
      <alignment horizontal="right" vertical="center" wrapText="1"/>
      <protection/>
    </xf>
    <xf numFmtId="3" fontId="27" fillId="23" borderId="11" xfId="57" applyNumberFormat="1" applyFont="1" applyFill="1" applyBorder="1" applyAlignment="1">
      <alignment horizontal="right" vertical="center" wrapText="1"/>
      <protection/>
    </xf>
    <xf numFmtId="3" fontId="27" fillId="23" borderId="34" xfId="57" applyNumberFormat="1" applyFont="1" applyFill="1" applyBorder="1" applyAlignment="1">
      <alignment horizontal="right" vertical="center" wrapText="1"/>
      <protection/>
    </xf>
    <xf numFmtId="0" fontId="27" fillId="23" borderId="48" xfId="57" applyFont="1" applyFill="1" applyBorder="1" applyAlignment="1">
      <alignment horizontal="center" vertical="center" wrapText="1"/>
      <protection/>
    </xf>
    <xf numFmtId="0" fontId="27" fillId="23" borderId="11" xfId="57" applyFont="1" applyFill="1" applyBorder="1" applyAlignment="1">
      <alignment horizontal="center" vertical="center" wrapText="1"/>
      <protection/>
    </xf>
    <xf numFmtId="0" fontId="27" fillId="23" borderId="60" xfId="57" applyFont="1" applyFill="1" applyBorder="1" applyAlignment="1">
      <alignment horizontal="center" vertical="center" wrapText="1"/>
      <protection/>
    </xf>
    <xf numFmtId="0" fontId="37" fillId="23" borderId="48" xfId="57" applyFont="1" applyFill="1" applyBorder="1" applyAlignment="1">
      <alignment horizontal="center" vertical="center" wrapText="1"/>
      <protection/>
    </xf>
    <xf numFmtId="0" fontId="27" fillId="23" borderId="34" xfId="57" applyFont="1" applyFill="1" applyBorder="1" applyAlignment="1">
      <alignment horizontal="center" vertical="center" wrapText="1"/>
      <protection/>
    </xf>
    <xf numFmtId="0" fontId="35" fillId="23" borderId="35" xfId="57" applyFont="1" applyFill="1" applyBorder="1" applyAlignment="1">
      <alignment horizontal="center" vertical="center"/>
      <protection/>
    </xf>
    <xf numFmtId="0" fontId="35" fillId="23" borderId="33" xfId="57" applyFont="1" applyFill="1" applyBorder="1" applyAlignment="1">
      <alignment horizontal="center" vertical="center"/>
      <protection/>
    </xf>
    <xf numFmtId="0" fontId="35" fillId="23" borderId="62" xfId="57" applyFont="1" applyFill="1" applyBorder="1" applyAlignment="1">
      <alignment horizontal="center" vertical="center"/>
      <protection/>
    </xf>
    <xf numFmtId="0" fontId="35" fillId="23" borderId="42" xfId="57" applyFont="1" applyFill="1" applyBorder="1" applyAlignment="1">
      <alignment horizontal="center" vertical="center"/>
      <protection/>
    </xf>
    <xf numFmtId="0" fontId="35" fillId="23" borderId="0" xfId="57" applyFont="1" applyFill="1" applyBorder="1" applyAlignment="1">
      <alignment horizontal="center" vertical="center"/>
      <protection/>
    </xf>
    <xf numFmtId="0" fontId="35" fillId="23" borderId="47" xfId="57" applyFont="1" applyFill="1" applyBorder="1" applyAlignment="1">
      <alignment horizontal="center" vertical="center"/>
      <protection/>
    </xf>
    <xf numFmtId="0" fontId="35" fillId="23" borderId="43" xfId="57" applyFont="1" applyFill="1" applyBorder="1" applyAlignment="1">
      <alignment horizontal="center" vertical="center"/>
      <protection/>
    </xf>
    <xf numFmtId="0" fontId="35" fillId="23" borderId="57" xfId="57" applyFont="1" applyFill="1" applyBorder="1" applyAlignment="1">
      <alignment horizontal="center" vertical="center"/>
      <protection/>
    </xf>
    <xf numFmtId="0" fontId="35" fillId="23" borderId="76" xfId="57" applyFont="1" applyFill="1" applyBorder="1" applyAlignment="1">
      <alignment horizontal="center" vertical="center"/>
      <protection/>
    </xf>
    <xf numFmtId="3" fontId="29" fillId="0" borderId="48" xfId="57" applyNumberFormat="1" applyFont="1" applyFill="1" applyBorder="1" applyAlignment="1">
      <alignment horizontal="right" vertical="center" wrapText="1"/>
      <protection/>
    </xf>
    <xf numFmtId="3" fontId="38" fillId="0" borderId="60" xfId="0" applyNumberFormat="1" applyFont="1" applyFill="1" applyBorder="1" applyAlignment="1">
      <alignment horizontal="right" vertical="center"/>
    </xf>
    <xf numFmtId="3" fontId="27" fillId="0" borderId="33" xfId="57" applyNumberFormat="1" applyFont="1" applyBorder="1" applyAlignment="1">
      <alignment horizontal="right" vertical="center" wrapText="1"/>
      <protection/>
    </xf>
    <xf numFmtId="3" fontId="27" fillId="0" borderId="0" xfId="57" applyNumberFormat="1" applyFont="1" applyBorder="1" applyAlignment="1">
      <alignment horizontal="right" vertical="center" wrapText="1"/>
      <protection/>
    </xf>
    <xf numFmtId="3" fontId="27" fillId="0" borderId="57" xfId="57" applyNumberFormat="1" applyFont="1" applyBorder="1" applyAlignment="1">
      <alignment horizontal="right" vertical="center" wrapText="1"/>
      <protection/>
    </xf>
    <xf numFmtId="3" fontId="27" fillId="23" borderId="33" xfId="57" applyNumberFormat="1" applyFont="1" applyFill="1" applyBorder="1" applyAlignment="1">
      <alignment horizontal="right" vertical="center" wrapText="1"/>
      <protection/>
    </xf>
    <xf numFmtId="3" fontId="27" fillId="23" borderId="0" xfId="57" applyNumberFormat="1" applyFont="1" applyFill="1" applyBorder="1" applyAlignment="1">
      <alignment horizontal="right" vertical="center" wrapText="1"/>
      <protection/>
    </xf>
    <xf numFmtId="3" fontId="27" fillId="23" borderId="57" xfId="57" applyNumberFormat="1" applyFont="1" applyFill="1" applyBorder="1" applyAlignment="1">
      <alignment horizontal="right" vertical="center" wrapText="1"/>
      <protection/>
    </xf>
    <xf numFmtId="0" fontId="27" fillId="23" borderId="12" xfId="57" applyFont="1" applyFill="1" applyBorder="1" applyAlignment="1">
      <alignment horizontal="center" vertical="center" wrapText="1"/>
      <protection/>
    </xf>
    <xf numFmtId="4" fontId="29" fillId="0" borderId="48" xfId="57" applyNumberFormat="1" applyFont="1" applyFill="1" applyBorder="1" applyAlignment="1">
      <alignment horizontal="right" vertical="center" wrapText="1"/>
      <protection/>
    </xf>
    <xf numFmtId="0" fontId="38" fillId="0" borderId="60" xfId="0" applyFont="1" applyFill="1" applyBorder="1" applyAlignment="1">
      <alignment/>
    </xf>
    <xf numFmtId="0" fontId="29" fillId="0" borderId="33" xfId="57" applyFont="1" applyFill="1" applyBorder="1" applyAlignment="1">
      <alignment horizontal="left" vertical="center" wrapText="1"/>
      <protection/>
    </xf>
    <xf numFmtId="0" fontId="29" fillId="0" borderId="62" xfId="57" applyFont="1" applyFill="1" applyBorder="1" applyAlignment="1">
      <alignment horizontal="left" vertical="center" wrapText="1"/>
      <protection/>
    </xf>
    <xf numFmtId="0" fontId="29" fillId="0" borderId="48" xfId="57" applyFont="1" applyFill="1" applyBorder="1" applyAlignment="1">
      <alignment horizontal="center" vertical="center" wrapText="1"/>
      <protection/>
    </xf>
    <xf numFmtId="4" fontId="29" fillId="0" borderId="62" xfId="57" applyNumberFormat="1" applyFont="1" applyBorder="1" applyAlignment="1">
      <alignment horizontal="center" vertical="center" wrapText="1"/>
      <protection/>
    </xf>
    <xf numFmtId="4" fontId="29" fillId="0" borderId="47" xfId="57" applyNumberFormat="1" applyFont="1" applyBorder="1" applyAlignment="1">
      <alignment horizontal="center" vertical="center" wrapText="1"/>
      <protection/>
    </xf>
    <xf numFmtId="4" fontId="29" fillId="0" borderId="76" xfId="57" applyNumberFormat="1" applyFont="1" applyBorder="1" applyAlignment="1">
      <alignment horizontal="center" vertical="center" wrapText="1"/>
      <protection/>
    </xf>
    <xf numFmtId="4" fontId="26" fillId="0" borderId="12" xfId="57" applyNumberFormat="1" applyFont="1" applyBorder="1" applyAlignment="1">
      <alignment horizontal="right" vertical="center" wrapText="1"/>
      <protection/>
    </xf>
    <xf numFmtId="4" fontId="26" fillId="0" borderId="11" xfId="57" applyNumberFormat="1" applyFont="1" applyBorder="1" applyAlignment="1">
      <alignment horizontal="right" vertical="center" wrapText="1"/>
      <protection/>
    </xf>
    <xf numFmtId="4" fontId="26" fillId="0" borderId="34" xfId="57" applyNumberFormat="1" applyFont="1" applyBorder="1" applyAlignment="1">
      <alignment horizontal="right" vertical="center" wrapText="1"/>
      <protection/>
    </xf>
    <xf numFmtId="4" fontId="32" fillId="0" borderId="11" xfId="57" applyNumberFormat="1" applyFont="1" applyBorder="1" applyAlignment="1">
      <alignment horizontal="right" vertical="center" wrapText="1"/>
      <protection/>
    </xf>
    <xf numFmtId="0" fontId="34" fillId="0" borderId="11" xfId="0" applyFont="1" applyBorder="1" applyAlignment="1">
      <alignment/>
    </xf>
    <xf numFmtId="0" fontId="34" fillId="0" borderId="34" xfId="0" applyFont="1" applyBorder="1" applyAlignment="1">
      <alignment/>
    </xf>
    <xf numFmtId="3" fontId="27" fillId="0" borderId="35" xfId="57" applyNumberFormat="1" applyFont="1" applyBorder="1" applyAlignment="1">
      <alignment horizontal="center" vertical="center" wrapText="1"/>
      <protection/>
    </xf>
    <xf numFmtId="3" fontId="27" fillId="0" borderId="33" xfId="57" applyNumberFormat="1" applyFont="1" applyBorder="1" applyAlignment="1">
      <alignment horizontal="center" vertical="center" wrapText="1"/>
      <protection/>
    </xf>
    <xf numFmtId="3" fontId="27" fillId="0" borderId="62" xfId="57" applyNumberFormat="1" applyFont="1" applyBorder="1" applyAlignment="1">
      <alignment horizontal="center" vertical="center" wrapText="1"/>
      <protection/>
    </xf>
    <xf numFmtId="3" fontId="27" fillId="0" borderId="42" xfId="57" applyNumberFormat="1" applyFont="1" applyBorder="1" applyAlignment="1">
      <alignment horizontal="center" vertical="center" wrapText="1"/>
      <protection/>
    </xf>
    <xf numFmtId="3" fontId="27" fillId="0" borderId="0" xfId="57" applyNumberFormat="1" applyFont="1" applyBorder="1" applyAlignment="1">
      <alignment horizontal="center" vertical="center" wrapText="1"/>
      <protection/>
    </xf>
    <xf numFmtId="3" fontId="27" fillId="0" borderId="47" xfId="57" applyNumberFormat="1" applyFont="1" applyBorder="1" applyAlignment="1">
      <alignment horizontal="center" vertical="center" wrapText="1"/>
      <protection/>
    </xf>
    <xf numFmtId="3" fontId="27" fillId="0" borderId="43" xfId="57" applyNumberFormat="1" applyFont="1" applyBorder="1" applyAlignment="1">
      <alignment horizontal="center" vertical="center" wrapText="1"/>
      <protection/>
    </xf>
    <xf numFmtId="3" fontId="27" fillId="0" borderId="57" xfId="57" applyNumberFormat="1" applyFont="1" applyBorder="1" applyAlignment="1">
      <alignment horizontal="center" vertical="center" wrapText="1"/>
      <protection/>
    </xf>
    <xf numFmtId="3" fontId="27" fillId="0" borderId="76" xfId="57" applyNumberFormat="1" applyFont="1" applyBorder="1" applyAlignment="1">
      <alignment horizontal="center" vertical="center" wrapText="1"/>
      <protection/>
    </xf>
    <xf numFmtId="3" fontId="27" fillId="0" borderId="12" xfId="57" applyNumberFormat="1" applyFont="1" applyFill="1" applyBorder="1" applyAlignment="1">
      <alignment horizontal="center" vertical="center" wrapText="1"/>
      <protection/>
    </xf>
    <xf numFmtId="3" fontId="27" fillId="0" borderId="11" xfId="57" applyNumberFormat="1" applyFont="1" applyFill="1" applyBorder="1" applyAlignment="1">
      <alignment horizontal="center" vertical="center" wrapText="1"/>
      <protection/>
    </xf>
    <xf numFmtId="3" fontId="27" fillId="0" borderId="34" xfId="57" applyNumberFormat="1" applyFont="1" applyFill="1" applyBorder="1" applyAlignment="1">
      <alignment horizontal="center" vertical="center" wrapText="1"/>
      <protection/>
    </xf>
    <xf numFmtId="3" fontId="27" fillId="0" borderId="12" xfId="57" applyNumberFormat="1" applyFont="1" applyFill="1" applyBorder="1" applyAlignment="1">
      <alignment horizontal="right" vertical="center" wrapText="1"/>
      <protection/>
    </xf>
    <xf numFmtId="3" fontId="27" fillId="0" borderId="11" xfId="57" applyNumberFormat="1" applyFont="1" applyFill="1" applyBorder="1" applyAlignment="1">
      <alignment horizontal="right" vertical="center" wrapText="1"/>
      <protection/>
    </xf>
    <xf numFmtId="3" fontId="27" fillId="0" borderId="34" xfId="57" applyNumberFormat="1" applyFont="1" applyFill="1" applyBorder="1" applyAlignment="1">
      <alignment horizontal="right" vertical="center" wrapText="1"/>
      <protection/>
    </xf>
    <xf numFmtId="0" fontId="33" fillId="0" borderId="12" xfId="57" applyFont="1" applyFill="1" applyBorder="1" applyAlignment="1">
      <alignment horizontal="center" vertical="center" wrapText="1"/>
      <protection/>
    </xf>
    <xf numFmtId="0" fontId="33" fillId="0" borderId="34" xfId="57" applyFont="1" applyFill="1" applyBorder="1" applyAlignment="1">
      <alignment horizontal="center" vertical="center" wrapText="1"/>
      <protection/>
    </xf>
    <xf numFmtId="3" fontId="29" fillId="0" borderId="12" xfId="57" applyNumberFormat="1" applyFont="1" applyFill="1" applyBorder="1" applyAlignment="1">
      <alignment horizontal="right" vertical="center" wrapText="1"/>
      <protection/>
    </xf>
    <xf numFmtId="3" fontId="29" fillId="0" borderId="34" xfId="57" applyNumberFormat="1" applyFont="1" applyFill="1" applyBorder="1" applyAlignment="1">
      <alignment horizontal="right" vertical="center" wrapText="1"/>
      <protection/>
    </xf>
    <xf numFmtId="3" fontId="29" fillId="0" borderId="0" xfId="57" applyNumberFormat="1" applyFont="1" applyBorder="1" applyAlignment="1">
      <alignment horizontal="left" vertical="center" wrapText="1"/>
      <protection/>
    </xf>
    <xf numFmtId="3" fontId="29" fillId="0" borderId="47" xfId="57" applyNumberFormat="1" applyFont="1" applyBorder="1" applyAlignment="1">
      <alignment horizontal="left" vertical="center" wrapText="1"/>
      <protection/>
    </xf>
    <xf numFmtId="3" fontId="32" fillId="0" borderId="12" xfId="57" applyNumberFormat="1" applyFont="1" applyFill="1" applyBorder="1" applyAlignment="1">
      <alignment horizontal="right" vertical="center" wrapText="1"/>
      <protection/>
    </xf>
    <xf numFmtId="3" fontId="32" fillId="0" borderId="34" xfId="57" applyNumberFormat="1" applyFont="1" applyFill="1" applyBorder="1" applyAlignment="1">
      <alignment horizontal="right" vertical="center" wrapText="1"/>
      <protection/>
    </xf>
    <xf numFmtId="3" fontId="32" fillId="0" borderId="12" xfId="57" applyNumberFormat="1" applyFont="1" applyFill="1" applyBorder="1" applyAlignment="1">
      <alignment horizontal="right" vertical="center"/>
      <protection/>
    </xf>
    <xf numFmtId="3" fontId="32" fillId="0" borderId="34" xfId="57" applyNumberFormat="1" applyFont="1" applyFill="1" applyBorder="1" applyAlignment="1">
      <alignment horizontal="right" vertical="center"/>
      <protection/>
    </xf>
    <xf numFmtId="0" fontId="29" fillId="0" borderId="39" xfId="57" applyFont="1" applyFill="1" applyBorder="1" applyAlignment="1">
      <alignment horizontal="left" vertical="center" wrapText="1"/>
      <protection/>
    </xf>
    <xf numFmtId="0" fontId="29" fillId="0" borderId="44" xfId="57" applyFont="1" applyFill="1" applyBorder="1" applyAlignment="1">
      <alignment horizontal="left" vertical="center" wrapText="1"/>
      <protection/>
    </xf>
    <xf numFmtId="3" fontId="32" fillId="0" borderId="12" xfId="57" applyNumberFormat="1" applyFont="1" applyFill="1" applyBorder="1" applyAlignment="1">
      <alignment horizontal="right" vertical="center" wrapText="1"/>
      <protection/>
    </xf>
    <xf numFmtId="3" fontId="32" fillId="0" borderId="34" xfId="57" applyNumberFormat="1" applyFont="1" applyFill="1" applyBorder="1" applyAlignment="1">
      <alignment horizontal="right" vertical="center" wrapText="1"/>
      <protection/>
    </xf>
    <xf numFmtId="0" fontId="26" fillId="0" borderId="58" xfId="57" applyFont="1" applyFill="1" applyBorder="1" applyAlignment="1">
      <alignment horizontal="left" vertical="center"/>
      <protection/>
    </xf>
    <xf numFmtId="0" fontId="26" fillId="0" borderId="39" xfId="57" applyFont="1" applyFill="1" applyBorder="1" applyAlignment="1">
      <alignment horizontal="left" vertical="center"/>
      <protection/>
    </xf>
    <xf numFmtId="0" fontId="29" fillId="0" borderId="0" xfId="57" applyFont="1" applyFill="1" applyBorder="1" applyAlignment="1">
      <alignment horizontal="left" vertical="center" wrapText="1"/>
      <protection/>
    </xf>
    <xf numFmtId="0" fontId="29" fillId="0" borderId="47" xfId="57" applyFont="1" applyFill="1" applyBorder="1" applyAlignment="1">
      <alignment horizontal="left" vertical="center" wrapText="1"/>
      <protection/>
    </xf>
    <xf numFmtId="3" fontId="29" fillId="0" borderId="57" xfId="57" applyNumberFormat="1" applyFont="1" applyBorder="1" applyAlignment="1">
      <alignment horizontal="left" vertical="center" wrapText="1"/>
      <protection/>
    </xf>
    <xf numFmtId="3" fontId="29" fillId="0" borderId="76" xfId="57" applyNumberFormat="1" applyFont="1" applyBorder="1" applyAlignment="1">
      <alignment horizontal="left" vertical="center" wrapText="1"/>
      <protection/>
    </xf>
    <xf numFmtId="3" fontId="29" fillId="0" borderId="82" xfId="57" applyNumberFormat="1" applyFont="1" applyBorder="1" applyAlignment="1">
      <alignment horizontal="left" vertical="center" wrapText="1"/>
      <protection/>
    </xf>
    <xf numFmtId="3" fontId="29" fillId="0" borderId="83" xfId="57" applyNumberFormat="1" applyFont="1" applyBorder="1" applyAlignment="1">
      <alignment horizontal="left" vertical="center" wrapText="1"/>
      <protection/>
    </xf>
    <xf numFmtId="3" fontId="29" fillId="0" borderId="0" xfId="57" applyNumberFormat="1" applyFont="1" applyFill="1" applyBorder="1" applyAlignment="1">
      <alignment horizontal="left" vertical="center" wrapText="1"/>
      <protection/>
    </xf>
    <xf numFmtId="3" fontId="29" fillId="0" borderId="47" xfId="57" applyNumberFormat="1" applyFont="1" applyFill="1" applyBorder="1" applyAlignment="1">
      <alignment horizontal="left" vertical="center" wrapText="1"/>
      <protection/>
    </xf>
    <xf numFmtId="3" fontId="29" fillId="0" borderId="0" xfId="57" applyNumberFormat="1" applyFont="1" applyBorder="1" applyAlignment="1">
      <alignment horizontal="left" vertical="center" wrapText="1"/>
      <protection/>
    </xf>
    <xf numFmtId="3" fontId="27" fillId="0" borderId="58" xfId="57" applyNumberFormat="1" applyFont="1" applyBorder="1" applyAlignment="1">
      <alignment horizontal="center" vertical="center" wrapText="1"/>
      <protection/>
    </xf>
    <xf numFmtId="3" fontId="27" fillId="0" borderId="39" xfId="57" applyNumberFormat="1" applyFont="1" applyBorder="1" applyAlignment="1">
      <alignment horizontal="center" vertical="center" wrapText="1"/>
      <protection/>
    </xf>
    <xf numFmtId="3" fontId="27" fillId="0" borderId="44" xfId="57" applyNumberFormat="1" applyFont="1" applyBorder="1" applyAlignment="1">
      <alignment horizontal="center" vertical="center" wrapText="1"/>
      <protection/>
    </xf>
    <xf numFmtId="3" fontId="29" fillId="0" borderId="39" xfId="57" applyNumberFormat="1" applyFont="1" applyBorder="1" applyAlignment="1">
      <alignment horizontal="left" vertical="center" wrapText="1"/>
      <protection/>
    </xf>
    <xf numFmtId="3" fontId="29" fillId="0" borderId="39" xfId="57" applyNumberFormat="1" applyFont="1" applyBorder="1" applyAlignment="1">
      <alignment horizontal="left" vertical="center" wrapText="1"/>
      <protection/>
    </xf>
    <xf numFmtId="3" fontId="29" fillId="0" borderId="44" xfId="57" applyNumberFormat="1" applyFont="1" applyBorder="1" applyAlignment="1">
      <alignment horizontal="left" vertical="center" wrapText="1"/>
      <protection/>
    </xf>
    <xf numFmtId="3" fontId="27" fillId="0" borderId="35" xfId="0" applyNumberFormat="1" applyFont="1" applyFill="1" applyBorder="1" applyAlignment="1">
      <alignment horizontal="center" vertical="center"/>
    </xf>
    <xf numFmtId="3" fontId="27" fillId="0" borderId="33" xfId="0" applyNumberFormat="1" applyFont="1" applyFill="1" applyBorder="1" applyAlignment="1">
      <alignment horizontal="center" vertical="center"/>
    </xf>
    <xf numFmtId="3" fontId="27" fillId="0" borderId="62" xfId="0" applyNumberFormat="1" applyFont="1" applyFill="1" applyBorder="1" applyAlignment="1">
      <alignment horizontal="center" vertical="center"/>
    </xf>
    <xf numFmtId="3" fontId="27" fillId="0" borderId="42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 vertical="center"/>
    </xf>
    <xf numFmtId="3" fontId="27" fillId="0" borderId="47" xfId="0" applyNumberFormat="1" applyFont="1" applyFill="1" applyBorder="1" applyAlignment="1">
      <alignment horizontal="center" vertical="center"/>
    </xf>
    <xf numFmtId="3" fontId="27" fillId="0" borderId="43" xfId="0" applyNumberFormat="1" applyFont="1" applyFill="1" applyBorder="1" applyAlignment="1">
      <alignment horizontal="center" vertical="center"/>
    </xf>
    <xf numFmtId="3" fontId="27" fillId="0" borderId="57" xfId="0" applyNumberFormat="1" applyFont="1" applyFill="1" applyBorder="1" applyAlignment="1">
      <alignment horizontal="center" vertical="center"/>
    </xf>
    <xf numFmtId="3" fontId="27" fillId="0" borderId="76" xfId="0" applyNumberFormat="1" applyFont="1" applyFill="1" applyBorder="1" applyAlignment="1">
      <alignment horizontal="center" vertical="center"/>
    </xf>
    <xf numFmtId="3" fontId="41" fillId="23" borderId="35" xfId="0" applyNumberFormat="1" applyFont="1" applyFill="1" applyBorder="1" applyAlignment="1">
      <alignment horizontal="center" vertical="center"/>
    </xf>
    <xf numFmtId="3" fontId="41" fillId="23" borderId="33" xfId="0" applyNumberFormat="1" applyFont="1" applyFill="1" applyBorder="1" applyAlignment="1">
      <alignment horizontal="center" vertical="center"/>
    </xf>
    <xf numFmtId="3" fontId="41" fillId="23" borderId="62" xfId="0" applyNumberFormat="1" applyFont="1" applyFill="1" applyBorder="1" applyAlignment="1">
      <alignment horizontal="center" vertical="center"/>
    </xf>
    <xf numFmtId="3" fontId="41" fillId="23" borderId="42" xfId="0" applyNumberFormat="1" applyFont="1" applyFill="1" applyBorder="1" applyAlignment="1">
      <alignment horizontal="center" vertical="center"/>
    </xf>
    <xf numFmtId="3" fontId="41" fillId="23" borderId="0" xfId="0" applyNumberFormat="1" applyFont="1" applyFill="1" applyBorder="1" applyAlignment="1">
      <alignment horizontal="center" vertical="center"/>
    </xf>
    <xf numFmtId="3" fontId="41" fillId="23" borderId="47" xfId="0" applyNumberFormat="1" applyFont="1" applyFill="1" applyBorder="1" applyAlignment="1">
      <alignment horizontal="center" vertical="center"/>
    </xf>
    <xf numFmtId="3" fontId="41" fillId="23" borderId="43" xfId="0" applyNumberFormat="1" applyFont="1" applyFill="1" applyBorder="1" applyAlignment="1">
      <alignment horizontal="center" vertical="center"/>
    </xf>
    <xf numFmtId="3" fontId="41" fillId="23" borderId="57" xfId="0" applyNumberFormat="1" applyFont="1" applyFill="1" applyBorder="1" applyAlignment="1">
      <alignment horizontal="center" vertical="center"/>
    </xf>
    <xf numFmtId="3" fontId="41" fillId="23" borderId="76" xfId="0" applyNumberFormat="1" applyFont="1" applyFill="1" applyBorder="1" applyAlignment="1">
      <alignment horizontal="center" vertical="center"/>
    </xf>
    <xf numFmtId="3" fontId="41" fillId="23" borderId="12" xfId="57" applyNumberFormat="1" applyFont="1" applyFill="1" applyBorder="1" applyAlignment="1">
      <alignment horizontal="center" vertical="center" wrapText="1"/>
      <protection/>
    </xf>
    <xf numFmtId="3" fontId="41" fillId="23" borderId="11" xfId="57" applyNumberFormat="1" applyFont="1" applyFill="1" applyBorder="1" applyAlignment="1">
      <alignment horizontal="center" vertical="center" wrapText="1"/>
      <protection/>
    </xf>
    <xf numFmtId="3" fontId="41" fillId="23" borderId="34" xfId="57" applyNumberFormat="1" applyFont="1" applyFill="1" applyBorder="1" applyAlignment="1">
      <alignment horizontal="center" vertical="center" wrapText="1"/>
      <protection/>
    </xf>
    <xf numFmtId="3" fontId="41" fillId="23" borderId="12" xfId="57" applyNumberFormat="1" applyFont="1" applyFill="1" applyBorder="1" applyAlignment="1">
      <alignment horizontal="right" vertical="center" wrapText="1"/>
      <protection/>
    </xf>
    <xf numFmtId="3" fontId="41" fillId="23" borderId="11" xfId="57" applyNumberFormat="1" applyFont="1" applyFill="1" applyBorder="1" applyAlignment="1">
      <alignment horizontal="right" vertical="center" wrapText="1"/>
      <protection/>
    </xf>
    <xf numFmtId="3" fontId="41" fillId="23" borderId="34" xfId="57" applyNumberFormat="1" applyFont="1" applyFill="1" applyBorder="1" applyAlignment="1">
      <alignment horizontal="right" vertical="center" wrapText="1"/>
      <protection/>
    </xf>
    <xf numFmtId="0" fontId="33" fillId="0" borderId="11" xfId="57" applyFont="1" applyFill="1" applyBorder="1" applyAlignment="1">
      <alignment horizontal="center" vertical="center" wrapText="1"/>
      <protection/>
    </xf>
    <xf numFmtId="3" fontId="29" fillId="0" borderId="47" xfId="57" applyNumberFormat="1" applyFont="1" applyBorder="1" applyAlignment="1">
      <alignment horizontal="left" vertical="center" wrapText="1"/>
      <protection/>
    </xf>
    <xf numFmtId="3" fontId="29" fillId="0" borderId="33" xfId="57" applyNumberFormat="1" applyFont="1" applyBorder="1" applyAlignment="1">
      <alignment horizontal="left" vertical="center" wrapText="1"/>
      <protection/>
    </xf>
    <xf numFmtId="3" fontId="29" fillId="0" borderId="33" xfId="57" applyNumberFormat="1" applyFont="1" applyBorder="1" applyAlignment="1">
      <alignment horizontal="left" vertical="center" wrapText="1"/>
      <protection/>
    </xf>
    <xf numFmtId="3" fontId="29" fillId="0" borderId="62" xfId="57" applyNumberFormat="1" applyFont="1" applyBorder="1" applyAlignment="1">
      <alignment horizontal="left" vertical="center" wrapText="1"/>
      <protection/>
    </xf>
    <xf numFmtId="3" fontId="29" fillId="0" borderId="0" xfId="57" applyNumberFormat="1" applyFont="1" applyBorder="1" applyAlignment="1" quotePrefix="1">
      <alignment horizontal="left" vertical="center" wrapText="1"/>
      <protection/>
    </xf>
    <xf numFmtId="3" fontId="27" fillId="0" borderId="58" xfId="57" applyNumberFormat="1" applyFont="1" applyFill="1" applyBorder="1" applyAlignment="1">
      <alignment horizontal="left" vertical="center"/>
      <protection/>
    </xf>
    <xf numFmtId="3" fontId="27" fillId="0" borderId="39" xfId="57" applyNumberFormat="1" applyFont="1" applyFill="1" applyBorder="1" applyAlignment="1">
      <alignment horizontal="left" vertical="center"/>
      <protection/>
    </xf>
    <xf numFmtId="3" fontId="18" fillId="0" borderId="33" xfId="57" applyNumberFormat="1" applyFont="1" applyBorder="1" applyAlignment="1">
      <alignment horizontal="center" vertical="center" wrapText="1"/>
      <protection/>
    </xf>
    <xf numFmtId="3" fontId="18" fillId="0" borderId="0" xfId="57" applyNumberFormat="1" applyFont="1" applyBorder="1" applyAlignment="1">
      <alignment horizontal="center" vertical="center" wrapText="1"/>
      <protection/>
    </xf>
    <xf numFmtId="3" fontId="25" fillId="0" borderId="35" xfId="57" applyNumberFormat="1" applyFont="1" applyBorder="1" applyAlignment="1">
      <alignment horizontal="center" vertical="center" wrapText="1"/>
      <protection/>
    </xf>
    <xf numFmtId="3" fontId="25" fillId="0" borderId="33" xfId="57" applyNumberFormat="1" applyFont="1" applyBorder="1" applyAlignment="1">
      <alignment horizontal="center" vertical="center" wrapText="1"/>
      <protection/>
    </xf>
    <xf numFmtId="3" fontId="25" fillId="0" borderId="62" xfId="57" applyNumberFormat="1" applyFont="1" applyBorder="1" applyAlignment="1">
      <alignment horizontal="center" vertical="center" wrapText="1"/>
      <protection/>
    </xf>
    <xf numFmtId="3" fontId="25" fillId="0" borderId="43" xfId="57" applyNumberFormat="1" applyFont="1" applyBorder="1" applyAlignment="1">
      <alignment horizontal="center" vertical="center" wrapText="1"/>
      <protection/>
    </xf>
    <xf numFmtId="3" fontId="25" fillId="0" borderId="57" xfId="57" applyNumberFormat="1" applyFont="1" applyBorder="1" applyAlignment="1">
      <alignment horizontal="center" vertical="center" wrapText="1"/>
      <protection/>
    </xf>
    <xf numFmtId="3" fontId="25" fillId="0" borderId="76" xfId="57" applyNumberFormat="1" applyFont="1" applyBorder="1" applyAlignment="1">
      <alignment horizontal="center" vertical="center" wrapText="1"/>
      <protection/>
    </xf>
    <xf numFmtId="3" fontId="26" fillId="0" borderId="12" xfId="57" applyNumberFormat="1" applyFont="1" applyBorder="1" applyAlignment="1">
      <alignment horizontal="center" vertical="center" wrapText="1"/>
      <protection/>
    </xf>
    <xf numFmtId="3" fontId="26" fillId="0" borderId="34" xfId="57" applyNumberFormat="1" applyFont="1" applyBorder="1" applyAlignment="1">
      <alignment horizontal="center" vertical="center" wrapText="1"/>
      <protection/>
    </xf>
    <xf numFmtId="3" fontId="18" fillId="0" borderId="11" xfId="57" applyNumberFormat="1" applyFont="1" applyBorder="1" applyAlignment="1">
      <alignment horizontal="center" vertical="center" wrapText="1"/>
      <protection/>
    </xf>
    <xf numFmtId="3" fontId="26" fillId="0" borderId="64" xfId="57" applyNumberFormat="1" applyFont="1" applyBorder="1" applyAlignment="1">
      <alignment horizontal="center" vertical="center"/>
      <protection/>
    </xf>
    <xf numFmtId="3" fontId="26" fillId="0" borderId="40" xfId="57" applyNumberFormat="1" applyFont="1" applyBorder="1" applyAlignment="1">
      <alignment horizontal="center" vertical="center"/>
      <protection/>
    </xf>
    <xf numFmtId="3" fontId="29" fillId="0" borderId="60" xfId="57" applyNumberFormat="1" applyFont="1" applyFill="1" applyBorder="1" applyAlignment="1">
      <alignment horizontal="right" vertical="center" wrapText="1"/>
      <protection/>
    </xf>
    <xf numFmtId="3" fontId="27" fillId="0" borderId="58" xfId="57" applyNumberFormat="1" applyFont="1" applyFill="1" applyBorder="1" applyAlignment="1">
      <alignment horizontal="left" vertical="center" wrapText="1"/>
      <protection/>
    </xf>
    <xf numFmtId="3" fontId="27" fillId="0" borderId="39" xfId="57" applyNumberFormat="1" applyFont="1" applyFill="1" applyBorder="1" applyAlignment="1">
      <alignment horizontal="left" vertical="center" wrapText="1"/>
      <protection/>
    </xf>
    <xf numFmtId="3" fontId="27" fillId="23" borderId="43" xfId="0" applyNumberFormat="1" applyFont="1" applyFill="1" applyBorder="1" applyAlignment="1">
      <alignment horizontal="center" vertical="center"/>
    </xf>
    <xf numFmtId="3" fontId="27" fillId="23" borderId="57" xfId="0" applyNumberFormat="1" applyFont="1" applyFill="1" applyBorder="1" applyAlignment="1">
      <alignment horizontal="center" vertical="center"/>
    </xf>
    <xf numFmtId="3" fontId="27" fillId="23" borderId="76" xfId="0" applyNumberFormat="1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26" fillId="0" borderId="35" xfId="57" applyNumberFormat="1" applyFont="1" applyBorder="1" applyAlignment="1">
      <alignment horizontal="center" vertical="center"/>
      <protection/>
    </xf>
    <xf numFmtId="1" fontId="26" fillId="0" borderId="43" xfId="57" applyNumberFormat="1" applyFont="1" applyBorder="1" applyAlignment="1">
      <alignment horizontal="center" vertical="center"/>
      <protection/>
    </xf>
    <xf numFmtId="1" fontId="26" fillId="0" borderId="85" xfId="57" applyNumberFormat="1" applyFont="1" applyBorder="1" applyAlignment="1">
      <alignment horizontal="center" vertical="center"/>
      <protection/>
    </xf>
    <xf numFmtId="1" fontId="26" fillId="0" borderId="74" xfId="57" applyNumberFormat="1" applyFont="1" applyBorder="1" applyAlignment="1">
      <alignment horizontal="center" vertical="center"/>
      <protection/>
    </xf>
    <xf numFmtId="1" fontId="26" fillId="0" borderId="86" xfId="57" applyNumberFormat="1" applyFont="1" applyBorder="1" applyAlignment="1">
      <alignment horizontal="center" vertical="center"/>
      <protection/>
    </xf>
    <xf numFmtId="0" fontId="27" fillId="23" borderId="58" xfId="57" applyFont="1" applyFill="1" applyBorder="1" applyAlignment="1">
      <alignment horizontal="center" vertical="center"/>
      <protection/>
    </xf>
    <xf numFmtId="0" fontId="27" fillId="23" borderId="39" xfId="57" applyFont="1" applyFill="1" applyBorder="1" applyAlignment="1">
      <alignment horizontal="center" vertical="center"/>
      <protection/>
    </xf>
    <xf numFmtId="3" fontId="18" fillId="0" borderId="12" xfId="57" applyNumberFormat="1" applyFont="1" applyBorder="1" applyAlignment="1">
      <alignment horizontal="right" vertical="center" wrapText="1"/>
      <protection/>
    </xf>
    <xf numFmtId="3" fontId="18" fillId="0" borderId="11" xfId="57" applyNumberFormat="1" applyFont="1" applyBorder="1" applyAlignment="1">
      <alignment horizontal="right" vertical="center" wrapText="1"/>
      <protection/>
    </xf>
    <xf numFmtId="3" fontId="18" fillId="0" borderId="34" xfId="57" applyNumberFormat="1" applyFont="1" applyBorder="1" applyAlignment="1">
      <alignment horizontal="right" vertical="center" wrapText="1"/>
      <protection/>
    </xf>
    <xf numFmtId="0" fontId="18" fillId="0" borderId="34" xfId="57" applyFont="1" applyBorder="1" applyAlignment="1">
      <alignment horizontal="center" vertical="center" wrapText="1"/>
      <protection/>
    </xf>
    <xf numFmtId="0" fontId="24" fillId="0" borderId="12" xfId="0" applyFont="1" applyBorder="1" applyAlignment="1">
      <alignment horizontal="right" vertical="center"/>
    </xf>
    <xf numFmtId="0" fontId="24" fillId="0" borderId="11" xfId="0" applyFont="1" applyBorder="1" applyAlignment="1">
      <alignment horizontal="right" vertical="center"/>
    </xf>
    <xf numFmtId="0" fontId="24" fillId="0" borderId="34" xfId="0" applyFont="1" applyBorder="1" applyAlignment="1">
      <alignment horizontal="right" vertical="center"/>
    </xf>
    <xf numFmtId="0" fontId="26" fillId="0" borderId="35" xfId="57" applyFont="1" applyFill="1" applyBorder="1" applyAlignment="1">
      <alignment horizontal="left" vertical="center" wrapText="1"/>
      <protection/>
    </xf>
    <xf numFmtId="0" fontId="26" fillId="0" borderId="33" xfId="57" applyFont="1" applyFill="1" applyBorder="1" applyAlignment="1">
      <alignment horizontal="left" vertical="center" wrapText="1"/>
      <protection/>
    </xf>
    <xf numFmtId="0" fontId="26" fillId="0" borderId="62" xfId="57" applyFont="1" applyFill="1" applyBorder="1" applyAlignment="1">
      <alignment horizontal="left" vertical="center" wrapText="1"/>
      <protection/>
    </xf>
    <xf numFmtId="0" fontId="26" fillId="0" borderId="42" xfId="57" applyFont="1" applyFill="1" applyBorder="1" applyAlignment="1">
      <alignment horizontal="left" vertical="center" wrapText="1"/>
      <protection/>
    </xf>
    <xf numFmtId="0" fontId="26" fillId="0" borderId="0" xfId="57" applyFont="1" applyFill="1" applyBorder="1" applyAlignment="1">
      <alignment horizontal="left" vertical="center" wrapText="1"/>
      <protection/>
    </xf>
    <xf numFmtId="0" fontId="26" fillId="0" borderId="47" xfId="57" applyFont="1" applyFill="1" applyBorder="1" applyAlignment="1">
      <alignment horizontal="left" vertical="center" wrapText="1"/>
      <protection/>
    </xf>
    <xf numFmtId="0" fontId="26" fillId="0" borderId="68" xfId="57" applyFont="1" applyFill="1" applyBorder="1" applyAlignment="1">
      <alignment horizontal="left" vertical="center" wrapText="1"/>
      <protection/>
    </xf>
    <xf numFmtId="0" fontId="26" fillId="0" borderId="24" xfId="57" applyFont="1" applyFill="1" applyBorder="1" applyAlignment="1">
      <alignment horizontal="left" vertical="center" wrapText="1"/>
      <protection/>
    </xf>
    <xf numFmtId="0" fontId="26" fillId="0" borderId="87" xfId="57" applyFont="1" applyFill="1" applyBorder="1" applyAlignment="1">
      <alignment horizontal="left" vertical="center" wrapText="1"/>
      <protection/>
    </xf>
    <xf numFmtId="0" fontId="29" fillId="0" borderId="0" xfId="57" applyFont="1" applyFill="1" applyBorder="1" applyAlignment="1">
      <alignment horizontal="center" vertical="center" wrapText="1"/>
      <protection/>
    </xf>
    <xf numFmtId="0" fontId="29" fillId="0" borderId="47" xfId="57" applyFont="1" applyFill="1" applyBorder="1" applyAlignment="1">
      <alignment horizontal="center" vertical="center" wrapText="1"/>
      <protection/>
    </xf>
    <xf numFmtId="0" fontId="29" fillId="0" borderId="57" xfId="57" applyFont="1" applyFill="1" applyBorder="1" applyAlignment="1">
      <alignment horizontal="center" vertical="center" wrapText="1"/>
      <protection/>
    </xf>
    <xf numFmtId="0" fontId="29" fillId="0" borderId="76" xfId="57" applyFont="1" applyFill="1" applyBorder="1" applyAlignment="1">
      <alignment horizontal="center" vertical="center" wrapText="1"/>
      <protection/>
    </xf>
    <xf numFmtId="0" fontId="18" fillId="0" borderId="12" xfId="57" applyFont="1" applyBorder="1" applyAlignment="1">
      <alignment horizontal="center" vertical="center" wrapText="1"/>
      <protection/>
    </xf>
    <xf numFmtId="0" fontId="18" fillId="0" borderId="11" xfId="57" applyFont="1" applyBorder="1" applyAlignment="1">
      <alignment horizontal="center" vertical="center" wrapText="1"/>
      <protection/>
    </xf>
    <xf numFmtId="0" fontId="18" fillId="0" borderId="34" xfId="57" applyFont="1" applyBorder="1" applyAlignment="1">
      <alignment horizontal="center" vertical="center" wrapText="1"/>
      <protection/>
    </xf>
    <xf numFmtId="1" fontId="26" fillId="0" borderId="15" xfId="57" applyNumberFormat="1" applyFont="1" applyBorder="1" applyAlignment="1">
      <alignment horizontal="center" vertical="center"/>
      <protection/>
    </xf>
    <xf numFmtId="1" fontId="26" fillId="0" borderId="45" xfId="57" applyNumberFormat="1" applyFont="1" applyBorder="1" applyAlignment="1">
      <alignment horizontal="center" vertical="center"/>
      <protection/>
    </xf>
    <xf numFmtId="1" fontId="26" fillId="0" borderId="30" xfId="57" applyNumberFormat="1" applyFont="1" applyBorder="1" applyAlignment="1">
      <alignment horizontal="center" vertical="center"/>
      <protection/>
    </xf>
    <xf numFmtId="3" fontId="28" fillId="0" borderId="39" xfId="57" applyNumberFormat="1" applyFont="1" applyFill="1" applyBorder="1" applyAlignment="1">
      <alignment horizontal="right" vertical="center" wrapText="1"/>
      <protection/>
    </xf>
    <xf numFmtId="3" fontId="28" fillId="0" borderId="57" xfId="57" applyNumberFormat="1" applyFont="1" applyFill="1" applyBorder="1" applyAlignment="1">
      <alignment horizontal="right" vertical="center" wrapText="1"/>
      <protection/>
    </xf>
    <xf numFmtId="0" fontId="29" fillId="0" borderId="39" xfId="57" applyFont="1" applyFill="1" applyBorder="1" applyAlignment="1">
      <alignment vertical="center" wrapText="1"/>
      <protection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Grey" xfId="44"/>
    <cellStyle name="Hyperlink" xfId="45"/>
    <cellStyle name="Input [yellow]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 - Style1" xfId="54"/>
    <cellStyle name="Normal_2KW96" xfId="55"/>
    <cellStyle name="Normalny_WPF_zalaczniki_2011" xfId="56"/>
    <cellStyle name="Normalny_zal_14_wyd UE" xfId="57"/>
    <cellStyle name="Obliczenia" xfId="58"/>
    <cellStyle name="Followed Hyperlink" xfId="59"/>
    <cellStyle name="Option" xfId="60"/>
    <cellStyle name="Percent [2]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AT_WYDZ\WAIKB\Bud&#380;et%202009\zmiany_bud&#380;etu\URM_ZPMP\URM_marzec\zal_URM_III_09\WPF\WP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AT_WYDZ\WAIKB\Budzet_2011\Budzet%20uchwalony\Za&#322;&#261;czniki%20po%20autopoprawce\zal_2_2011_po_au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rsja 4 (2)"/>
      <sheetName val="wersja 2  (2)"/>
      <sheetName val="WYDATKI -r"/>
      <sheetName val="DOCHODY-r"/>
      <sheetName val="WYDATKI -st"/>
      <sheetName val="DOCHODY -st"/>
      <sheetName val="WYDATKI -st1"/>
      <sheetName val="WYDATKI -r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 auto"/>
      <sheetName val="projekt 2011"/>
      <sheetName val="Arkusz1"/>
    </sheetNames>
    <sheetDataSet>
      <sheetData sheetId="0">
        <row r="692">
          <cell r="J692">
            <v>501988413</v>
          </cell>
        </row>
        <row r="693">
          <cell r="L693">
            <v>463345398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8"/>
  <sheetViews>
    <sheetView tabSelected="1" zoomScale="75" zoomScaleNormal="75" zoomScaleSheetLayoutView="50" workbookViewId="0" topLeftCell="B1">
      <pane ySplit="9" topLeftCell="BM480" activePane="bottomLeft" state="frozen"/>
      <selection pane="topLeft" activeCell="A1" sqref="A1"/>
      <selection pane="bottomLeft" activeCell="N292" sqref="N292"/>
    </sheetView>
  </sheetViews>
  <sheetFormatPr defaultColWidth="9.140625" defaultRowHeight="15" customHeight="1"/>
  <cols>
    <col min="1" max="1" width="12.00390625" style="474" hidden="1" customWidth="1"/>
    <col min="2" max="2" width="4.7109375" style="481" customWidth="1"/>
    <col min="3" max="3" width="6.7109375" style="474" customWidth="1"/>
    <col min="4" max="6" width="9.140625" style="474" customWidth="1"/>
    <col min="7" max="7" width="16.57421875" style="474" customWidth="1"/>
    <col min="8" max="8" width="14.57421875" style="474" customWidth="1"/>
    <col min="9" max="9" width="17.57421875" style="474" customWidth="1"/>
    <col min="10" max="10" width="11.57421875" style="474" customWidth="1"/>
    <col min="11" max="11" width="16.140625" style="482" customWidth="1"/>
    <col min="12" max="12" width="10.7109375" style="474" customWidth="1"/>
    <col min="13" max="13" width="17.28125" style="474" customWidth="1"/>
    <col min="14" max="18" width="16.140625" style="474" bestFit="1" customWidth="1"/>
    <col min="19" max="19" width="16.421875" style="3" customWidth="1"/>
    <col min="20" max="16384" width="9.140625" style="474" customWidth="1"/>
  </cols>
  <sheetData>
    <row r="1" spans="1:19" s="441" customFormat="1" ht="1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209"/>
      <c r="L1" s="1"/>
      <c r="M1" s="1"/>
      <c r="N1" s="1"/>
      <c r="O1" s="1"/>
      <c r="P1" s="1"/>
      <c r="Q1" s="1"/>
      <c r="R1" s="1"/>
      <c r="S1" s="378" t="s">
        <v>127</v>
      </c>
    </row>
    <row r="2" spans="2:19" s="441" customFormat="1" ht="15" customHeight="1">
      <c r="B2" s="472"/>
      <c r="K2" s="473"/>
      <c r="S2" s="378" t="s">
        <v>566</v>
      </c>
    </row>
    <row r="3" spans="2:19" s="441" customFormat="1" ht="15" customHeight="1">
      <c r="B3" s="472"/>
      <c r="K3" s="473"/>
      <c r="S3" s="378" t="s">
        <v>128</v>
      </c>
    </row>
    <row r="4" spans="2:19" s="441" customFormat="1" ht="20.25">
      <c r="B4" s="472"/>
      <c r="D4" s="379" t="s">
        <v>567</v>
      </c>
      <c r="K4" s="473"/>
      <c r="S4" s="378"/>
    </row>
    <row r="5" spans="2:19" s="441" customFormat="1" ht="20.25">
      <c r="B5" s="472"/>
      <c r="E5" s="379"/>
      <c r="K5" s="473"/>
      <c r="S5" s="378"/>
    </row>
    <row r="6" spans="1:18" ht="12.75">
      <c r="A6" s="441"/>
      <c r="B6" s="472"/>
      <c r="C6" s="441"/>
      <c r="D6" s="441"/>
      <c r="E6" s="441"/>
      <c r="F6" s="441"/>
      <c r="G6" s="441"/>
      <c r="H6" s="441"/>
      <c r="I6" s="441"/>
      <c r="J6" s="441"/>
      <c r="K6" s="473"/>
      <c r="L6" s="441"/>
      <c r="M6" s="441"/>
      <c r="N6" s="441"/>
      <c r="O6" s="441"/>
      <c r="P6" s="441"/>
      <c r="Q6" s="441"/>
      <c r="R6" s="441"/>
    </row>
    <row r="7" spans="2:19" s="195" customFormat="1" ht="18.75" thickBot="1">
      <c r="B7" s="203"/>
      <c r="C7" s="204" t="s">
        <v>439</v>
      </c>
      <c r="K7" s="205"/>
      <c r="S7" s="204"/>
    </row>
    <row r="8" spans="1:19" ht="25.5" customHeight="1">
      <c r="A8" s="631" t="s">
        <v>278</v>
      </c>
      <c r="B8" s="104"/>
      <c r="C8" s="601" t="s">
        <v>279</v>
      </c>
      <c r="D8" s="602"/>
      <c r="E8" s="602"/>
      <c r="F8" s="602"/>
      <c r="G8" s="603"/>
      <c r="H8" s="624" t="s">
        <v>280</v>
      </c>
      <c r="I8" s="631" t="s">
        <v>281</v>
      </c>
      <c r="J8" s="624" t="s">
        <v>282</v>
      </c>
      <c r="K8" s="633" t="s">
        <v>283</v>
      </c>
      <c r="L8" s="624" t="s">
        <v>284</v>
      </c>
      <c r="M8" s="624" t="s">
        <v>285</v>
      </c>
      <c r="N8" s="622" t="s">
        <v>286</v>
      </c>
      <c r="O8" s="623"/>
      <c r="P8" s="623"/>
      <c r="Q8" s="623"/>
      <c r="R8" s="623"/>
      <c r="S8" s="629" t="s">
        <v>287</v>
      </c>
    </row>
    <row r="9" spans="1:19" ht="25.5" customHeight="1" thickBot="1">
      <c r="A9" s="632"/>
      <c r="B9" s="104"/>
      <c r="C9" s="604"/>
      <c r="D9" s="605"/>
      <c r="E9" s="605"/>
      <c r="F9" s="605"/>
      <c r="G9" s="606"/>
      <c r="H9" s="625"/>
      <c r="I9" s="632"/>
      <c r="J9" s="625"/>
      <c r="K9" s="634"/>
      <c r="L9" s="625"/>
      <c r="M9" s="625"/>
      <c r="N9" s="6">
        <v>2011</v>
      </c>
      <c r="O9" s="7">
        <v>2012</v>
      </c>
      <c r="P9" s="7">
        <v>2013</v>
      </c>
      <c r="Q9" s="7">
        <v>2014</v>
      </c>
      <c r="R9" s="7">
        <v>2015</v>
      </c>
      <c r="S9" s="630"/>
    </row>
    <row r="10" spans="1:19" s="195" customFormat="1" ht="20.25" customHeight="1" thickBot="1">
      <c r="A10" s="189"/>
      <c r="B10" s="190"/>
      <c r="C10" s="459" t="s">
        <v>288</v>
      </c>
      <c r="D10" s="455"/>
      <c r="E10" s="455"/>
      <c r="F10" s="455"/>
      <c r="G10" s="455"/>
      <c r="H10" s="455"/>
      <c r="I10" s="455"/>
      <c r="J10" s="455"/>
      <c r="K10" s="206"/>
      <c r="L10" s="189"/>
      <c r="M10" s="192"/>
      <c r="N10" s="193"/>
      <c r="O10" s="193"/>
      <c r="P10" s="193"/>
      <c r="Q10" s="193"/>
      <c r="R10" s="193"/>
      <c r="S10" s="194"/>
    </row>
    <row r="11" spans="1:19" s="37" customFormat="1" ht="20.25" customHeight="1" thickBot="1">
      <c r="A11" s="196"/>
      <c r="B11" s="105"/>
      <c r="C11" s="197" t="s">
        <v>522</v>
      </c>
      <c r="D11" s="196"/>
      <c r="E11" s="196"/>
      <c r="F11" s="196"/>
      <c r="G11" s="196"/>
      <c r="H11" s="196"/>
      <c r="I11" s="196"/>
      <c r="J11" s="196"/>
      <c r="K11" s="207"/>
      <c r="L11" s="196"/>
      <c r="M11" s="196"/>
      <c r="N11" s="196"/>
      <c r="O11" s="196"/>
      <c r="P11" s="196"/>
      <c r="Q11" s="196"/>
      <c r="R11" s="196"/>
      <c r="S11" s="198"/>
    </row>
    <row r="12" spans="1:19" s="143" customFormat="1" ht="15" customHeight="1">
      <c r="A12" s="638"/>
      <c r="B12" s="284"/>
      <c r="C12" s="518"/>
      <c r="D12" s="522" t="s">
        <v>554</v>
      </c>
      <c r="E12" s="522"/>
      <c r="F12" s="522"/>
      <c r="G12" s="523"/>
      <c r="H12" s="467" t="s">
        <v>555</v>
      </c>
      <c r="I12" s="467" t="s">
        <v>548</v>
      </c>
      <c r="J12" s="467" t="s">
        <v>318</v>
      </c>
      <c r="K12" s="468">
        <v>89134000</v>
      </c>
      <c r="L12" s="467" t="s">
        <v>302</v>
      </c>
      <c r="M12" s="142" t="s">
        <v>298</v>
      </c>
      <c r="N12" s="447">
        <f>4518500-3840197</f>
        <v>678303</v>
      </c>
      <c r="O12" s="288"/>
      <c r="P12" s="288"/>
      <c r="Q12" s="288"/>
      <c r="R12" s="28"/>
      <c r="S12" s="505">
        <f>11000000-2000000</f>
        <v>9000000</v>
      </c>
    </row>
    <row r="13" spans="1:19" s="143" customFormat="1" ht="15" customHeight="1">
      <c r="A13" s="515"/>
      <c r="B13" s="284"/>
      <c r="C13" s="518"/>
      <c r="D13" s="522"/>
      <c r="E13" s="522"/>
      <c r="F13" s="522"/>
      <c r="G13" s="523"/>
      <c r="H13" s="509"/>
      <c r="I13" s="509"/>
      <c r="J13" s="509"/>
      <c r="K13" s="512"/>
      <c r="L13" s="509"/>
      <c r="M13" s="41" t="s">
        <v>299</v>
      </c>
      <c r="N13" s="109"/>
      <c r="O13" s="35"/>
      <c r="P13" s="35"/>
      <c r="Q13" s="35"/>
      <c r="R13" s="10"/>
      <c r="S13" s="506"/>
    </row>
    <row r="14" spans="1:19" s="143" customFormat="1" ht="15" customHeight="1">
      <c r="A14" s="515"/>
      <c r="B14" s="284"/>
      <c r="C14" s="518"/>
      <c r="D14" s="522"/>
      <c r="E14" s="522"/>
      <c r="F14" s="522"/>
      <c r="G14" s="523"/>
      <c r="H14" s="509"/>
      <c r="I14" s="509"/>
      <c r="J14" s="509"/>
      <c r="K14" s="512"/>
      <c r="L14" s="509"/>
      <c r="M14" s="41" t="s">
        <v>300</v>
      </c>
      <c r="N14" s="108">
        <f>6481500+1840197</f>
        <v>8321697</v>
      </c>
      <c r="O14" s="35"/>
      <c r="P14" s="35"/>
      <c r="Q14" s="35"/>
      <c r="R14" s="10"/>
      <c r="S14" s="506"/>
    </row>
    <row r="15" spans="1:19" s="143" customFormat="1" ht="15" customHeight="1" thickBot="1">
      <c r="A15" s="516"/>
      <c r="B15" s="284"/>
      <c r="C15" s="519"/>
      <c r="D15" s="524"/>
      <c r="E15" s="524"/>
      <c r="F15" s="524"/>
      <c r="G15" s="525"/>
      <c r="H15" s="510"/>
      <c r="I15" s="510"/>
      <c r="J15" s="510"/>
      <c r="K15" s="513"/>
      <c r="L15" s="510"/>
      <c r="M15" s="13" t="s">
        <v>301</v>
      </c>
      <c r="N15" s="280">
        <f>SUM(N12:N14)</f>
        <v>9000000</v>
      </c>
      <c r="O15" s="279">
        <f>SUM(O12:O14)</f>
        <v>0</v>
      </c>
      <c r="P15" s="279">
        <f>SUM(P12:P14)</f>
        <v>0</v>
      </c>
      <c r="Q15" s="279">
        <f>SUM(Q12:Q14)</f>
        <v>0</v>
      </c>
      <c r="R15" s="279">
        <f>SUM(R12:R14)</f>
        <v>0</v>
      </c>
      <c r="S15" s="507"/>
    </row>
    <row r="16" spans="1:19" s="37" customFormat="1" ht="20.25" customHeight="1" thickBot="1">
      <c r="A16" s="196"/>
      <c r="B16" s="105"/>
      <c r="C16" s="197" t="s">
        <v>524</v>
      </c>
      <c r="D16" s="196"/>
      <c r="E16" s="196"/>
      <c r="F16" s="196"/>
      <c r="G16" s="196"/>
      <c r="H16" s="196"/>
      <c r="I16" s="196"/>
      <c r="J16" s="196"/>
      <c r="K16" s="831"/>
      <c r="L16" s="196"/>
      <c r="M16" s="196"/>
      <c r="N16" s="196"/>
      <c r="O16" s="196"/>
      <c r="P16" s="196"/>
      <c r="Q16" s="196"/>
      <c r="R16" s="196"/>
      <c r="S16" s="198"/>
    </row>
    <row r="17" spans="1:19" s="143" customFormat="1" ht="15" customHeight="1">
      <c r="A17" s="638"/>
      <c r="B17" s="284"/>
      <c r="C17" s="518"/>
      <c r="D17" s="522" t="s">
        <v>554</v>
      </c>
      <c r="E17" s="522"/>
      <c r="F17" s="522"/>
      <c r="G17" s="523"/>
      <c r="H17" s="467" t="s">
        <v>555</v>
      </c>
      <c r="I17" s="467" t="s">
        <v>550</v>
      </c>
      <c r="J17" s="467" t="s">
        <v>444</v>
      </c>
      <c r="K17" s="468">
        <v>150000000</v>
      </c>
      <c r="L17" s="467" t="s">
        <v>302</v>
      </c>
      <c r="M17" s="142" t="s">
        <v>298</v>
      </c>
      <c r="N17" s="287">
        <v>3817100</v>
      </c>
      <c r="O17" s="288">
        <v>17000000</v>
      </c>
      <c r="P17" s="288">
        <v>64182900</v>
      </c>
      <c r="Q17" s="288"/>
      <c r="R17" s="28"/>
      <c r="S17" s="505">
        <v>102975000</v>
      </c>
    </row>
    <row r="18" spans="1:19" s="143" customFormat="1" ht="15" customHeight="1">
      <c r="A18" s="515"/>
      <c r="B18" s="284"/>
      <c r="C18" s="518"/>
      <c r="D18" s="522"/>
      <c r="E18" s="522"/>
      <c r="F18" s="522"/>
      <c r="G18" s="523"/>
      <c r="H18" s="509"/>
      <c r="I18" s="509"/>
      <c r="J18" s="509"/>
      <c r="K18" s="512"/>
      <c r="L18" s="509"/>
      <c r="M18" s="41" t="s">
        <v>299</v>
      </c>
      <c r="N18" s="35"/>
      <c r="O18" s="35"/>
      <c r="P18" s="35"/>
      <c r="Q18" s="35"/>
      <c r="R18" s="10"/>
      <c r="S18" s="506"/>
    </row>
    <row r="19" spans="1:19" s="143" customFormat="1" ht="15" customHeight="1">
      <c r="A19" s="515"/>
      <c r="B19" s="284"/>
      <c r="C19" s="518"/>
      <c r="D19" s="522"/>
      <c r="E19" s="522"/>
      <c r="F19" s="522"/>
      <c r="G19" s="523"/>
      <c r="H19" s="509"/>
      <c r="I19" s="509"/>
      <c r="J19" s="509"/>
      <c r="K19" s="512"/>
      <c r="L19" s="509"/>
      <c r="M19" s="41" t="s">
        <v>300</v>
      </c>
      <c r="N19" s="33">
        <v>3157900</v>
      </c>
      <c r="O19" s="35">
        <v>6000000</v>
      </c>
      <c r="P19" s="35">
        <v>8817100</v>
      </c>
      <c r="Q19" s="35"/>
      <c r="R19" s="10"/>
      <c r="S19" s="506"/>
    </row>
    <row r="20" spans="1:19" s="143" customFormat="1" ht="15" customHeight="1" thickBot="1">
      <c r="A20" s="516"/>
      <c r="B20" s="284"/>
      <c r="C20" s="519"/>
      <c r="D20" s="524"/>
      <c r="E20" s="524"/>
      <c r="F20" s="524"/>
      <c r="G20" s="525"/>
      <c r="H20" s="510"/>
      <c r="I20" s="510"/>
      <c r="J20" s="510"/>
      <c r="K20" s="513"/>
      <c r="L20" s="510"/>
      <c r="M20" s="13" t="s">
        <v>301</v>
      </c>
      <c r="N20" s="280">
        <f>SUM(N17:N19)</f>
        <v>6975000</v>
      </c>
      <c r="O20" s="279">
        <f>SUM(O17:O19)</f>
        <v>23000000</v>
      </c>
      <c r="P20" s="279">
        <f>SUM(P17:P19)</f>
        <v>73000000</v>
      </c>
      <c r="Q20" s="279">
        <f>SUM(Q17:Q19)</f>
        <v>0</v>
      </c>
      <c r="R20" s="279">
        <f>SUM(R17:R19)</f>
        <v>0</v>
      </c>
      <c r="S20" s="507"/>
    </row>
    <row r="21" spans="1:19" s="37" customFormat="1" ht="20.25" customHeight="1" thickBot="1">
      <c r="A21" s="196"/>
      <c r="B21" s="105"/>
      <c r="C21" s="197" t="s">
        <v>525</v>
      </c>
      <c r="D21" s="196"/>
      <c r="E21" s="196"/>
      <c r="F21" s="196"/>
      <c r="G21" s="196"/>
      <c r="H21" s="196"/>
      <c r="I21" s="196"/>
      <c r="J21" s="196"/>
      <c r="K21" s="831"/>
      <c r="L21" s="196"/>
      <c r="M21" s="196"/>
      <c r="N21" s="196"/>
      <c r="O21" s="196"/>
      <c r="P21" s="196"/>
      <c r="Q21" s="196"/>
      <c r="R21" s="196"/>
      <c r="S21" s="198"/>
    </row>
    <row r="22" spans="1:19" s="143" customFormat="1" ht="15" customHeight="1">
      <c r="A22" s="638"/>
      <c r="B22" s="284"/>
      <c r="C22" s="518"/>
      <c r="D22" s="522" t="s">
        <v>538</v>
      </c>
      <c r="E22" s="522"/>
      <c r="F22" s="522"/>
      <c r="G22" s="523"/>
      <c r="H22" s="467" t="s">
        <v>540</v>
      </c>
      <c r="I22" s="467" t="s">
        <v>547</v>
      </c>
      <c r="J22" s="467" t="s">
        <v>296</v>
      </c>
      <c r="K22" s="468">
        <v>180940420</v>
      </c>
      <c r="L22" s="467" t="s">
        <v>302</v>
      </c>
      <c r="M22" s="142" t="s">
        <v>298</v>
      </c>
      <c r="N22" s="287">
        <v>33902005</v>
      </c>
      <c r="O22" s="288">
        <v>36872330</v>
      </c>
      <c r="P22" s="288"/>
      <c r="Q22" s="288"/>
      <c r="R22" s="28"/>
      <c r="S22" s="505">
        <v>171618170</v>
      </c>
    </row>
    <row r="23" spans="1:19" s="143" customFormat="1" ht="15" customHeight="1">
      <c r="A23" s="515"/>
      <c r="B23" s="284"/>
      <c r="C23" s="518"/>
      <c r="D23" s="522"/>
      <c r="E23" s="522"/>
      <c r="F23" s="522"/>
      <c r="G23" s="523"/>
      <c r="H23" s="509"/>
      <c r="I23" s="509"/>
      <c r="J23" s="509"/>
      <c r="K23" s="512"/>
      <c r="L23" s="509"/>
      <c r="M23" s="41" t="s">
        <v>299</v>
      </c>
      <c r="N23" s="35"/>
      <c r="O23" s="35"/>
      <c r="P23" s="35"/>
      <c r="Q23" s="35"/>
      <c r="R23" s="10"/>
      <c r="S23" s="506"/>
    </row>
    <row r="24" spans="1:19" s="143" customFormat="1" ht="15" customHeight="1">
      <c r="A24" s="515"/>
      <c r="B24" s="284"/>
      <c r="C24" s="518"/>
      <c r="D24" s="522"/>
      <c r="E24" s="522"/>
      <c r="F24" s="522"/>
      <c r="G24" s="523"/>
      <c r="H24" s="509"/>
      <c r="I24" s="509"/>
      <c r="J24" s="509"/>
      <c r="K24" s="512"/>
      <c r="L24" s="509"/>
      <c r="M24" s="41" t="s">
        <v>300</v>
      </c>
      <c r="N24" s="33">
        <v>49419687</v>
      </c>
      <c r="O24" s="35">
        <v>53096150</v>
      </c>
      <c r="P24" s="35"/>
      <c r="Q24" s="35"/>
      <c r="R24" s="10"/>
      <c r="S24" s="506"/>
    </row>
    <row r="25" spans="1:19" s="143" customFormat="1" ht="15" customHeight="1" thickBot="1">
      <c r="A25" s="516"/>
      <c r="B25" s="284"/>
      <c r="C25" s="519"/>
      <c r="D25" s="524"/>
      <c r="E25" s="524"/>
      <c r="F25" s="524"/>
      <c r="G25" s="525"/>
      <c r="H25" s="510"/>
      <c r="I25" s="510"/>
      <c r="J25" s="510"/>
      <c r="K25" s="513"/>
      <c r="L25" s="510"/>
      <c r="M25" s="13" t="s">
        <v>301</v>
      </c>
      <c r="N25" s="280">
        <f>SUM(N22:N24)</f>
        <v>83321692</v>
      </c>
      <c r="O25" s="279">
        <f>SUM(O22:O24)</f>
        <v>89968480</v>
      </c>
      <c r="P25" s="279">
        <f>SUM(P22:P24)</f>
        <v>0</v>
      </c>
      <c r="Q25" s="279">
        <f>SUM(Q22:Q24)</f>
        <v>0</v>
      </c>
      <c r="R25" s="279">
        <f>SUM(R22:R24)</f>
        <v>0</v>
      </c>
      <c r="S25" s="507"/>
    </row>
    <row r="26" spans="1:19" s="37" customFormat="1" ht="20.25" customHeight="1" thickBot="1">
      <c r="A26" s="196"/>
      <c r="B26" s="105"/>
      <c r="C26" s="197" t="s">
        <v>526</v>
      </c>
      <c r="D26" s="196"/>
      <c r="E26" s="196"/>
      <c r="F26" s="196"/>
      <c r="G26" s="196"/>
      <c r="H26" s="196"/>
      <c r="I26" s="196"/>
      <c r="J26" s="196"/>
      <c r="K26" s="831"/>
      <c r="L26" s="196"/>
      <c r="M26" s="196"/>
      <c r="N26" s="196"/>
      <c r="O26" s="196"/>
      <c r="P26" s="196"/>
      <c r="Q26" s="196"/>
      <c r="R26" s="196"/>
      <c r="S26" s="198"/>
    </row>
    <row r="27" spans="1:19" s="143" customFormat="1" ht="15" customHeight="1">
      <c r="A27" s="638"/>
      <c r="B27" s="284"/>
      <c r="C27" s="518"/>
      <c r="D27" s="522" t="s">
        <v>538</v>
      </c>
      <c r="E27" s="522"/>
      <c r="F27" s="522"/>
      <c r="G27" s="523"/>
      <c r="H27" s="467" t="s">
        <v>553</v>
      </c>
      <c r="I27" s="467" t="s">
        <v>545</v>
      </c>
      <c r="J27" s="467" t="s">
        <v>542</v>
      </c>
      <c r="K27" s="468">
        <v>98515390</v>
      </c>
      <c r="L27" s="467" t="s">
        <v>302</v>
      </c>
      <c r="M27" s="142" t="s">
        <v>298</v>
      </c>
      <c r="N27" s="287">
        <v>17112000</v>
      </c>
      <c r="O27" s="288">
        <v>25668000</v>
      </c>
      <c r="P27" s="288"/>
      <c r="Q27" s="288"/>
      <c r="R27" s="28"/>
      <c r="S27" s="505">
        <v>84203390</v>
      </c>
    </row>
    <row r="28" spans="1:19" s="143" customFormat="1" ht="15" customHeight="1">
      <c r="A28" s="515"/>
      <c r="B28" s="284"/>
      <c r="C28" s="518"/>
      <c r="D28" s="522"/>
      <c r="E28" s="522"/>
      <c r="F28" s="522"/>
      <c r="G28" s="523"/>
      <c r="H28" s="509"/>
      <c r="I28" s="509"/>
      <c r="J28" s="509"/>
      <c r="K28" s="512"/>
      <c r="L28" s="509"/>
      <c r="M28" s="41" t="s">
        <v>299</v>
      </c>
      <c r="N28" s="35"/>
      <c r="O28" s="35"/>
      <c r="P28" s="35"/>
      <c r="Q28" s="35"/>
      <c r="R28" s="10"/>
      <c r="S28" s="506"/>
    </row>
    <row r="29" spans="1:19" s="143" customFormat="1" ht="15" customHeight="1">
      <c r="A29" s="515"/>
      <c r="B29" s="284"/>
      <c r="C29" s="518"/>
      <c r="D29" s="522"/>
      <c r="E29" s="522"/>
      <c r="F29" s="522"/>
      <c r="G29" s="523"/>
      <c r="H29" s="509"/>
      <c r="I29" s="509"/>
      <c r="J29" s="509"/>
      <c r="K29" s="512"/>
      <c r="L29" s="509"/>
      <c r="M29" s="41" t="s">
        <v>300</v>
      </c>
      <c r="N29" s="33">
        <v>29167920</v>
      </c>
      <c r="O29" s="35">
        <v>13755470</v>
      </c>
      <c r="P29" s="35"/>
      <c r="Q29" s="35"/>
      <c r="R29" s="10"/>
      <c r="S29" s="506"/>
    </row>
    <row r="30" spans="1:19" s="143" customFormat="1" ht="15" customHeight="1" thickBot="1">
      <c r="A30" s="516"/>
      <c r="B30" s="284"/>
      <c r="C30" s="519"/>
      <c r="D30" s="524"/>
      <c r="E30" s="524"/>
      <c r="F30" s="524"/>
      <c r="G30" s="525"/>
      <c r="H30" s="510"/>
      <c r="I30" s="510"/>
      <c r="J30" s="510"/>
      <c r="K30" s="513"/>
      <c r="L30" s="510"/>
      <c r="M30" s="13" t="s">
        <v>301</v>
      </c>
      <c r="N30" s="280">
        <f>SUM(N27:N29)</f>
        <v>46279920</v>
      </c>
      <c r="O30" s="279">
        <f>SUM(O27:O29)</f>
        <v>39423470</v>
      </c>
      <c r="P30" s="279">
        <f>SUM(P27:P29)</f>
        <v>0</v>
      </c>
      <c r="Q30" s="279">
        <f>SUM(Q27:Q29)</f>
        <v>0</v>
      </c>
      <c r="R30" s="279">
        <f>SUM(R27:R29)</f>
        <v>0</v>
      </c>
      <c r="S30" s="507"/>
    </row>
    <row r="31" spans="1:19" s="37" customFormat="1" ht="20.25" customHeight="1" thickBot="1">
      <c r="A31" s="196"/>
      <c r="B31" s="105"/>
      <c r="C31" s="197" t="s">
        <v>527</v>
      </c>
      <c r="D31" s="196"/>
      <c r="E31" s="196"/>
      <c r="F31" s="196"/>
      <c r="G31" s="196"/>
      <c r="H31" s="196"/>
      <c r="I31" s="196"/>
      <c r="J31" s="196"/>
      <c r="K31" s="831"/>
      <c r="L31" s="196"/>
      <c r="M31" s="196"/>
      <c r="N31" s="196"/>
      <c r="O31" s="196"/>
      <c r="P31" s="196"/>
      <c r="Q31" s="196"/>
      <c r="R31" s="196"/>
      <c r="S31" s="198"/>
    </row>
    <row r="32" spans="1:19" s="143" customFormat="1" ht="15" customHeight="1">
      <c r="A32" s="638"/>
      <c r="B32" s="284"/>
      <c r="C32" s="518"/>
      <c r="D32" s="522" t="s">
        <v>538</v>
      </c>
      <c r="E32" s="522"/>
      <c r="F32" s="522"/>
      <c r="G32" s="523"/>
      <c r="H32" s="467" t="s">
        <v>553</v>
      </c>
      <c r="I32" s="467" t="s">
        <v>546</v>
      </c>
      <c r="J32" s="467" t="s">
        <v>80</v>
      </c>
      <c r="K32" s="468">
        <v>271081170</v>
      </c>
      <c r="L32" s="467" t="s">
        <v>302</v>
      </c>
      <c r="M32" s="142" t="s">
        <v>298</v>
      </c>
      <c r="N32" s="287">
        <v>57518580</v>
      </c>
      <c r="O32" s="288">
        <v>34608180</v>
      </c>
      <c r="P32" s="288">
        <v>10837600</v>
      </c>
      <c r="Q32" s="288"/>
      <c r="R32" s="28"/>
      <c r="S32" s="505">
        <v>243381300</v>
      </c>
    </row>
    <row r="33" spans="1:19" s="143" customFormat="1" ht="15" customHeight="1">
      <c r="A33" s="515"/>
      <c r="B33" s="284"/>
      <c r="C33" s="518"/>
      <c r="D33" s="522"/>
      <c r="E33" s="522"/>
      <c r="F33" s="522"/>
      <c r="G33" s="523"/>
      <c r="H33" s="509"/>
      <c r="I33" s="509"/>
      <c r="J33" s="509"/>
      <c r="K33" s="512"/>
      <c r="L33" s="509"/>
      <c r="M33" s="41" t="s">
        <v>299</v>
      </c>
      <c r="N33" s="35"/>
      <c r="O33" s="35"/>
      <c r="P33" s="35"/>
      <c r="Q33" s="35"/>
      <c r="R33" s="10"/>
      <c r="S33" s="506"/>
    </row>
    <row r="34" spans="1:19" s="143" customFormat="1" ht="15" customHeight="1">
      <c r="A34" s="515"/>
      <c r="B34" s="284"/>
      <c r="C34" s="518"/>
      <c r="D34" s="522"/>
      <c r="E34" s="522"/>
      <c r="F34" s="522"/>
      <c r="G34" s="523"/>
      <c r="H34" s="509"/>
      <c r="I34" s="509"/>
      <c r="J34" s="509"/>
      <c r="K34" s="512"/>
      <c r="L34" s="509"/>
      <c r="M34" s="41" t="s">
        <v>300</v>
      </c>
      <c r="N34" s="33">
        <v>86366340</v>
      </c>
      <c r="O34" s="35">
        <v>30907820</v>
      </c>
      <c r="P34" s="35">
        <v>25267780</v>
      </c>
      <c r="Q34" s="35"/>
      <c r="R34" s="10"/>
      <c r="S34" s="506"/>
    </row>
    <row r="35" spans="1:19" s="143" customFormat="1" ht="15" customHeight="1" thickBot="1">
      <c r="A35" s="516"/>
      <c r="B35" s="284"/>
      <c r="C35" s="519"/>
      <c r="D35" s="524"/>
      <c r="E35" s="524"/>
      <c r="F35" s="524"/>
      <c r="G35" s="525"/>
      <c r="H35" s="510"/>
      <c r="I35" s="510"/>
      <c r="J35" s="510"/>
      <c r="K35" s="513"/>
      <c r="L35" s="510"/>
      <c r="M35" s="13" t="s">
        <v>301</v>
      </c>
      <c r="N35" s="280">
        <f>SUM(N32:N34)</f>
        <v>143884920</v>
      </c>
      <c r="O35" s="279">
        <f>SUM(O32:O34)</f>
        <v>65516000</v>
      </c>
      <c r="P35" s="279">
        <f>SUM(P32:P34)</f>
        <v>36105380</v>
      </c>
      <c r="Q35" s="279">
        <f>SUM(Q32:Q34)</f>
        <v>0</v>
      </c>
      <c r="R35" s="279">
        <f>SUM(R32:R34)</f>
        <v>0</v>
      </c>
      <c r="S35" s="507"/>
    </row>
    <row r="36" spans="1:19" s="37" customFormat="1" ht="20.25" customHeight="1" thickBot="1">
      <c r="A36" s="196"/>
      <c r="B36" s="105"/>
      <c r="C36" s="197" t="s">
        <v>528</v>
      </c>
      <c r="D36" s="196"/>
      <c r="E36" s="196"/>
      <c r="F36" s="196"/>
      <c r="G36" s="196"/>
      <c r="H36" s="196"/>
      <c r="I36" s="196"/>
      <c r="J36" s="196"/>
      <c r="K36" s="831"/>
      <c r="L36" s="196"/>
      <c r="M36" s="196"/>
      <c r="N36" s="196"/>
      <c r="O36" s="196"/>
      <c r="P36" s="196"/>
      <c r="Q36" s="196"/>
      <c r="R36" s="196"/>
      <c r="S36" s="198"/>
    </row>
    <row r="37" spans="1:19" s="143" customFormat="1" ht="15" customHeight="1">
      <c r="A37" s="638"/>
      <c r="B37" s="284"/>
      <c r="C37" s="518"/>
      <c r="D37" s="522" t="s">
        <v>556</v>
      </c>
      <c r="E37" s="522"/>
      <c r="F37" s="522"/>
      <c r="G37" s="523"/>
      <c r="H37" s="467" t="s">
        <v>557</v>
      </c>
      <c r="I37" s="467" t="s">
        <v>551</v>
      </c>
      <c r="J37" s="467" t="s">
        <v>332</v>
      </c>
      <c r="K37" s="468">
        <v>164490016</v>
      </c>
      <c r="L37" s="467" t="s">
        <v>302</v>
      </c>
      <c r="M37" s="142" t="s">
        <v>298</v>
      </c>
      <c r="N37" s="287">
        <v>6813700</v>
      </c>
      <c r="O37" s="288"/>
      <c r="P37" s="288"/>
      <c r="Q37" s="288"/>
      <c r="R37" s="28"/>
      <c r="S37" s="505">
        <v>39000000</v>
      </c>
    </row>
    <row r="38" spans="1:19" s="143" customFormat="1" ht="15" customHeight="1">
      <c r="A38" s="515"/>
      <c r="B38" s="284"/>
      <c r="C38" s="518"/>
      <c r="D38" s="522"/>
      <c r="E38" s="522"/>
      <c r="F38" s="522"/>
      <c r="G38" s="523"/>
      <c r="H38" s="509"/>
      <c r="I38" s="509"/>
      <c r="J38" s="509"/>
      <c r="K38" s="512"/>
      <c r="L38" s="509"/>
      <c r="M38" s="41" t="s">
        <v>299</v>
      </c>
      <c r="N38" s="35"/>
      <c r="O38" s="35"/>
      <c r="P38" s="35"/>
      <c r="Q38" s="35"/>
      <c r="R38" s="10"/>
      <c r="S38" s="506"/>
    </row>
    <row r="39" spans="1:19" s="143" customFormat="1" ht="15" customHeight="1">
      <c r="A39" s="515"/>
      <c r="B39" s="284"/>
      <c r="C39" s="518"/>
      <c r="D39" s="522"/>
      <c r="E39" s="522"/>
      <c r="F39" s="522"/>
      <c r="G39" s="523"/>
      <c r="H39" s="509"/>
      <c r="I39" s="509"/>
      <c r="J39" s="509"/>
      <c r="K39" s="512"/>
      <c r="L39" s="509"/>
      <c r="M39" s="41" t="s">
        <v>300</v>
      </c>
      <c r="N39" s="33">
        <v>32186300</v>
      </c>
      <c r="O39" s="35"/>
      <c r="P39" s="35"/>
      <c r="Q39" s="35"/>
      <c r="R39" s="10"/>
      <c r="S39" s="506"/>
    </row>
    <row r="40" spans="1:19" s="143" customFormat="1" ht="15" customHeight="1" thickBot="1">
      <c r="A40" s="516"/>
      <c r="B40" s="284"/>
      <c r="C40" s="519"/>
      <c r="D40" s="524"/>
      <c r="E40" s="524"/>
      <c r="F40" s="524"/>
      <c r="G40" s="525"/>
      <c r="H40" s="510"/>
      <c r="I40" s="510"/>
      <c r="J40" s="510"/>
      <c r="K40" s="513"/>
      <c r="L40" s="510"/>
      <c r="M40" s="13" t="s">
        <v>301</v>
      </c>
      <c r="N40" s="280">
        <f>SUM(N37:N39)</f>
        <v>39000000</v>
      </c>
      <c r="O40" s="279">
        <f>SUM(O37:O39)</f>
        <v>0</v>
      </c>
      <c r="P40" s="279">
        <f>SUM(P37:P39)</f>
        <v>0</v>
      </c>
      <c r="Q40" s="279">
        <f>SUM(Q37:Q39)</f>
        <v>0</v>
      </c>
      <c r="R40" s="279">
        <f>SUM(R37:R39)</f>
        <v>0</v>
      </c>
      <c r="S40" s="507"/>
    </row>
    <row r="41" spans="1:19" s="37" customFormat="1" ht="20.25" customHeight="1" thickBot="1">
      <c r="A41" s="196"/>
      <c r="B41" s="105"/>
      <c r="C41" s="197" t="s">
        <v>529</v>
      </c>
      <c r="D41" s="196"/>
      <c r="E41" s="196"/>
      <c r="F41" s="196"/>
      <c r="G41" s="196"/>
      <c r="H41" s="196"/>
      <c r="I41" s="196"/>
      <c r="J41" s="196"/>
      <c r="K41" s="831"/>
      <c r="L41" s="196"/>
      <c r="M41" s="196"/>
      <c r="N41" s="196"/>
      <c r="O41" s="196"/>
      <c r="P41" s="196"/>
      <c r="Q41" s="196"/>
      <c r="R41" s="196"/>
      <c r="S41" s="198"/>
    </row>
    <row r="42" spans="1:19" s="143" customFormat="1" ht="15" customHeight="1">
      <c r="A42" s="638"/>
      <c r="B42" s="284"/>
      <c r="C42" s="518"/>
      <c r="D42" s="522" t="s">
        <v>539</v>
      </c>
      <c r="E42" s="522"/>
      <c r="F42" s="522"/>
      <c r="G42" s="523"/>
      <c r="H42" s="467" t="s">
        <v>540</v>
      </c>
      <c r="I42" s="467" t="s">
        <v>552</v>
      </c>
      <c r="J42" s="467" t="s">
        <v>536</v>
      </c>
      <c r="K42" s="468">
        <v>190000000</v>
      </c>
      <c r="L42" s="467" t="s">
        <v>302</v>
      </c>
      <c r="M42" s="142" t="s">
        <v>298</v>
      </c>
      <c r="N42" s="287">
        <v>10888560</v>
      </c>
      <c r="O42" s="288">
        <v>14680000</v>
      </c>
      <c r="P42" s="288">
        <v>20552000</v>
      </c>
      <c r="Q42" s="288">
        <v>9659440</v>
      </c>
      <c r="R42" s="28"/>
      <c r="S42" s="505">
        <v>182900000</v>
      </c>
    </row>
    <row r="43" spans="1:19" s="143" customFormat="1" ht="15" customHeight="1">
      <c r="A43" s="515"/>
      <c r="B43" s="284"/>
      <c r="C43" s="518"/>
      <c r="D43" s="522"/>
      <c r="E43" s="522"/>
      <c r="F43" s="522"/>
      <c r="G43" s="523"/>
      <c r="H43" s="509"/>
      <c r="I43" s="509"/>
      <c r="J43" s="509"/>
      <c r="K43" s="512"/>
      <c r="L43" s="509"/>
      <c r="M43" s="41" t="s">
        <v>299</v>
      </c>
      <c r="N43" s="35"/>
      <c r="O43" s="35"/>
      <c r="P43" s="35"/>
      <c r="Q43" s="35"/>
      <c r="R43" s="10"/>
      <c r="S43" s="506"/>
    </row>
    <row r="44" spans="1:19" s="143" customFormat="1" ht="15" customHeight="1">
      <c r="A44" s="515"/>
      <c r="B44" s="284"/>
      <c r="C44" s="518"/>
      <c r="D44" s="522"/>
      <c r="E44" s="522"/>
      <c r="F44" s="522"/>
      <c r="G44" s="523"/>
      <c r="H44" s="509"/>
      <c r="I44" s="509"/>
      <c r="J44" s="509"/>
      <c r="K44" s="512"/>
      <c r="L44" s="509"/>
      <c r="M44" s="41" t="s">
        <v>300</v>
      </c>
      <c r="N44" s="33">
        <v>19111440</v>
      </c>
      <c r="O44" s="35">
        <v>35320000</v>
      </c>
      <c r="P44" s="35">
        <v>49448000</v>
      </c>
      <c r="Q44" s="35">
        <v>23240560</v>
      </c>
      <c r="R44" s="10"/>
      <c r="S44" s="506"/>
    </row>
    <row r="45" spans="1:19" s="143" customFormat="1" ht="15" customHeight="1" thickBot="1">
      <c r="A45" s="516"/>
      <c r="B45" s="284"/>
      <c r="C45" s="519"/>
      <c r="D45" s="524"/>
      <c r="E45" s="524"/>
      <c r="F45" s="524"/>
      <c r="G45" s="525"/>
      <c r="H45" s="510"/>
      <c r="I45" s="510"/>
      <c r="J45" s="510"/>
      <c r="K45" s="513"/>
      <c r="L45" s="510"/>
      <c r="M45" s="13" t="s">
        <v>301</v>
      </c>
      <c r="N45" s="280">
        <f>SUM(N42:N44)</f>
        <v>30000000</v>
      </c>
      <c r="O45" s="279">
        <f>SUM(O42:O44)</f>
        <v>50000000</v>
      </c>
      <c r="P45" s="279">
        <f>SUM(P42:P44)</f>
        <v>70000000</v>
      </c>
      <c r="Q45" s="279">
        <f>SUM(Q42:Q44)</f>
        <v>32900000</v>
      </c>
      <c r="R45" s="279">
        <f>SUM(R42:R44)</f>
        <v>0</v>
      </c>
      <c r="S45" s="507"/>
    </row>
    <row r="46" spans="1:19" s="37" customFormat="1" ht="20.25" customHeight="1" thickBot="1">
      <c r="A46" s="196"/>
      <c r="B46" s="105"/>
      <c r="C46" s="197" t="s">
        <v>289</v>
      </c>
      <c r="D46" s="196"/>
      <c r="E46" s="196"/>
      <c r="F46" s="196"/>
      <c r="G46" s="196"/>
      <c r="H46" s="196"/>
      <c r="I46" s="196"/>
      <c r="J46" s="196"/>
      <c r="K46" s="831"/>
      <c r="L46" s="196"/>
      <c r="M46" s="196"/>
      <c r="N46" s="196"/>
      <c r="O46" s="196"/>
      <c r="P46" s="196"/>
      <c r="Q46" s="196"/>
      <c r="R46" s="196"/>
      <c r="S46" s="198"/>
    </row>
    <row r="47" spans="1:19" s="143" customFormat="1" ht="15" customHeight="1">
      <c r="A47" s="638">
        <v>60095</v>
      </c>
      <c r="B47" s="284"/>
      <c r="C47" s="517"/>
      <c r="D47" s="520" t="s">
        <v>294</v>
      </c>
      <c r="E47" s="520"/>
      <c r="F47" s="520"/>
      <c r="G47" s="521"/>
      <c r="H47" s="508" t="s">
        <v>130</v>
      </c>
      <c r="I47" s="508" t="s">
        <v>295</v>
      </c>
      <c r="J47" s="508" t="s">
        <v>296</v>
      </c>
      <c r="K47" s="511">
        <v>611470</v>
      </c>
      <c r="L47" s="508" t="s">
        <v>297</v>
      </c>
      <c r="M47" s="248" t="s">
        <v>298</v>
      </c>
      <c r="N47" s="295">
        <v>178084</v>
      </c>
      <c r="O47" s="296">
        <v>62853</v>
      </c>
      <c r="P47" s="296"/>
      <c r="Q47" s="296"/>
      <c r="R47" s="9"/>
      <c r="S47" s="505">
        <v>283456</v>
      </c>
    </row>
    <row r="48" spans="1:19" s="143" customFormat="1" ht="15" customHeight="1">
      <c r="A48" s="515"/>
      <c r="B48" s="284"/>
      <c r="C48" s="518"/>
      <c r="D48" s="522"/>
      <c r="E48" s="522"/>
      <c r="F48" s="522"/>
      <c r="G48" s="523"/>
      <c r="H48" s="509"/>
      <c r="I48" s="509"/>
      <c r="J48" s="509"/>
      <c r="K48" s="512"/>
      <c r="L48" s="509"/>
      <c r="M48" s="41" t="s">
        <v>299</v>
      </c>
      <c r="N48" s="35"/>
      <c r="O48" s="35"/>
      <c r="P48" s="35"/>
      <c r="Q48" s="35"/>
      <c r="R48" s="10"/>
      <c r="S48" s="506"/>
    </row>
    <row r="49" spans="1:19" s="143" customFormat="1" ht="15" customHeight="1">
      <c r="A49" s="515"/>
      <c r="B49" s="284"/>
      <c r="C49" s="518"/>
      <c r="D49" s="522"/>
      <c r="E49" s="522"/>
      <c r="F49" s="522"/>
      <c r="G49" s="523"/>
      <c r="H49" s="509"/>
      <c r="I49" s="509"/>
      <c r="J49" s="509"/>
      <c r="K49" s="512"/>
      <c r="L49" s="509"/>
      <c r="M49" s="41" t="s">
        <v>300</v>
      </c>
      <c r="N49" s="33">
        <v>31427</v>
      </c>
      <c r="O49" s="35">
        <v>11092</v>
      </c>
      <c r="P49" s="35"/>
      <c r="Q49" s="35"/>
      <c r="R49" s="10"/>
      <c r="S49" s="506"/>
    </row>
    <row r="50" spans="1:19" s="143" customFormat="1" ht="15" customHeight="1" thickBot="1">
      <c r="A50" s="516"/>
      <c r="B50" s="284"/>
      <c r="C50" s="519"/>
      <c r="D50" s="524"/>
      <c r="E50" s="524"/>
      <c r="F50" s="524"/>
      <c r="G50" s="525"/>
      <c r="H50" s="510"/>
      <c r="I50" s="510"/>
      <c r="J50" s="510"/>
      <c r="K50" s="513"/>
      <c r="L50" s="510"/>
      <c r="M50" s="282" t="s">
        <v>301</v>
      </c>
      <c r="N50" s="280">
        <f>SUM(N47:N49)</f>
        <v>209511</v>
      </c>
      <c r="O50" s="283">
        <f>SUM(O47:O49)</f>
        <v>73945</v>
      </c>
      <c r="P50" s="283">
        <f>SUM(P47:P49)</f>
        <v>0</v>
      </c>
      <c r="Q50" s="283">
        <f>SUM(Q47:Q49)</f>
        <v>0</v>
      </c>
      <c r="R50" s="283">
        <f>SUM(R47:R49)</f>
        <v>0</v>
      </c>
      <c r="S50" s="507"/>
    </row>
    <row r="51" spans="1:19" s="37" customFormat="1" ht="20.25" customHeight="1" thickBot="1">
      <c r="A51" s="196"/>
      <c r="B51" s="105"/>
      <c r="C51" s="380" t="s">
        <v>436</v>
      </c>
      <c r="D51" s="381"/>
      <c r="E51" s="381"/>
      <c r="F51" s="381"/>
      <c r="G51" s="381"/>
      <c r="H51" s="381"/>
      <c r="I51" s="381"/>
      <c r="J51" s="381"/>
      <c r="K51" s="832"/>
      <c r="L51" s="381"/>
      <c r="M51" s="381"/>
      <c r="N51" s="381"/>
      <c r="O51" s="381"/>
      <c r="P51" s="381"/>
      <c r="Q51" s="381"/>
      <c r="R51" s="381"/>
      <c r="S51" s="383"/>
    </row>
    <row r="52" spans="1:19" s="143" customFormat="1" ht="18.75" customHeight="1">
      <c r="A52" s="638">
        <v>60095</v>
      </c>
      <c r="B52" s="284"/>
      <c r="C52" s="518"/>
      <c r="D52" s="522" t="s">
        <v>443</v>
      </c>
      <c r="E52" s="522"/>
      <c r="F52" s="522"/>
      <c r="G52" s="523"/>
      <c r="H52" s="467" t="s">
        <v>445</v>
      </c>
      <c r="I52" s="467" t="s">
        <v>295</v>
      </c>
      <c r="J52" s="467" t="s">
        <v>444</v>
      </c>
      <c r="K52" s="468">
        <v>320000</v>
      </c>
      <c r="L52" s="467" t="s">
        <v>297</v>
      </c>
      <c r="M52" s="142" t="s">
        <v>298</v>
      </c>
      <c r="N52" s="287">
        <v>47515</v>
      </c>
      <c r="O52" s="288">
        <v>168130</v>
      </c>
      <c r="P52" s="288">
        <v>56355</v>
      </c>
      <c r="Q52" s="288"/>
      <c r="R52" s="28"/>
      <c r="S52" s="505">
        <v>55900</v>
      </c>
    </row>
    <row r="53" spans="1:19" s="143" customFormat="1" ht="18.75" customHeight="1">
      <c r="A53" s="515"/>
      <c r="B53" s="284"/>
      <c r="C53" s="518"/>
      <c r="D53" s="522"/>
      <c r="E53" s="522"/>
      <c r="F53" s="522"/>
      <c r="G53" s="523"/>
      <c r="H53" s="509"/>
      <c r="I53" s="509"/>
      <c r="J53" s="509"/>
      <c r="K53" s="512"/>
      <c r="L53" s="509"/>
      <c r="M53" s="41" t="s">
        <v>299</v>
      </c>
      <c r="N53" s="35"/>
      <c r="O53" s="35"/>
      <c r="P53" s="35"/>
      <c r="Q53" s="35"/>
      <c r="R53" s="10"/>
      <c r="S53" s="506"/>
    </row>
    <row r="54" spans="1:19" s="143" customFormat="1" ht="18.75" customHeight="1">
      <c r="A54" s="515"/>
      <c r="B54" s="284"/>
      <c r="C54" s="518"/>
      <c r="D54" s="522"/>
      <c r="E54" s="522"/>
      <c r="F54" s="522"/>
      <c r="G54" s="523"/>
      <c r="H54" s="509"/>
      <c r="I54" s="509"/>
      <c r="J54" s="509"/>
      <c r="K54" s="512"/>
      <c r="L54" s="509"/>
      <c r="M54" s="41" t="s">
        <v>300</v>
      </c>
      <c r="N54" s="33">
        <v>8385</v>
      </c>
      <c r="O54" s="35">
        <v>29670</v>
      </c>
      <c r="P54" s="35">
        <v>9945</v>
      </c>
      <c r="Q54" s="35"/>
      <c r="R54" s="10"/>
      <c r="S54" s="506"/>
    </row>
    <row r="55" spans="1:19" s="143" customFormat="1" ht="18.75" customHeight="1" thickBot="1">
      <c r="A55" s="516"/>
      <c r="B55" s="284"/>
      <c r="C55" s="519"/>
      <c r="D55" s="524"/>
      <c r="E55" s="524"/>
      <c r="F55" s="524"/>
      <c r="G55" s="525"/>
      <c r="H55" s="510"/>
      <c r="I55" s="510"/>
      <c r="J55" s="510"/>
      <c r="K55" s="513"/>
      <c r="L55" s="510"/>
      <c r="M55" s="13" t="s">
        <v>301</v>
      </c>
      <c r="N55" s="280">
        <f>SUM(N52:N54)</f>
        <v>55900</v>
      </c>
      <c r="O55" s="279">
        <f>SUM(O52:O54)</f>
        <v>197800</v>
      </c>
      <c r="P55" s="279">
        <f>SUM(P52:P54)</f>
        <v>66300</v>
      </c>
      <c r="Q55" s="279">
        <f>SUM(Q52:Q54)</f>
        <v>0</v>
      </c>
      <c r="R55" s="279">
        <f>SUM(R52:R54)</f>
        <v>0</v>
      </c>
      <c r="S55" s="507"/>
    </row>
    <row r="56" spans="1:19" s="3" customFormat="1" ht="15" customHeight="1">
      <c r="A56" s="635"/>
      <c r="B56" s="271"/>
      <c r="C56" s="551" t="s">
        <v>517</v>
      </c>
      <c r="D56" s="552"/>
      <c r="E56" s="552"/>
      <c r="F56" s="552"/>
      <c r="G56" s="552"/>
      <c r="H56" s="552"/>
      <c r="I56" s="552"/>
      <c r="J56" s="553"/>
      <c r="K56" s="560">
        <f>K47+K52+K42+K37+K32+K27+K22+K17+K12</f>
        <v>1145092466</v>
      </c>
      <c r="L56" s="563" t="s">
        <v>297</v>
      </c>
      <c r="M56" s="111" t="s">
        <v>298</v>
      </c>
      <c r="N56" s="93">
        <f>N47+N52</f>
        <v>225599</v>
      </c>
      <c r="O56" s="94">
        <f aca="true" t="shared" si="0" ref="O56:R58">O47+O52</f>
        <v>230983</v>
      </c>
      <c r="P56" s="94">
        <f t="shared" si="0"/>
        <v>56355</v>
      </c>
      <c r="Q56" s="94">
        <f t="shared" si="0"/>
        <v>0</v>
      </c>
      <c r="R56" s="276">
        <f t="shared" si="0"/>
        <v>0</v>
      </c>
      <c r="S56" s="566">
        <f>S47+S52+S42+S37+S32+S27+S22+S17+S12</f>
        <v>833417216</v>
      </c>
    </row>
    <row r="57" spans="1:19" s="3" customFormat="1" ht="15" customHeight="1">
      <c r="A57" s="636"/>
      <c r="B57" s="271"/>
      <c r="C57" s="554"/>
      <c r="D57" s="555"/>
      <c r="E57" s="555"/>
      <c r="F57" s="555"/>
      <c r="G57" s="555"/>
      <c r="H57" s="555"/>
      <c r="I57" s="555"/>
      <c r="J57" s="556"/>
      <c r="K57" s="561"/>
      <c r="L57" s="564"/>
      <c r="M57" s="251" t="s">
        <v>299</v>
      </c>
      <c r="N57" s="95">
        <f>N48+N53</f>
        <v>0</v>
      </c>
      <c r="O57" s="96">
        <f t="shared" si="0"/>
        <v>0</v>
      </c>
      <c r="P57" s="96">
        <f t="shared" si="0"/>
        <v>0</v>
      </c>
      <c r="Q57" s="96">
        <f t="shared" si="0"/>
        <v>0</v>
      </c>
      <c r="R57" s="277">
        <f t="shared" si="0"/>
        <v>0</v>
      </c>
      <c r="S57" s="567"/>
    </row>
    <row r="58" spans="1:19" s="3" customFormat="1" ht="15" customHeight="1">
      <c r="A58" s="636"/>
      <c r="B58" s="271"/>
      <c r="C58" s="554"/>
      <c r="D58" s="555"/>
      <c r="E58" s="555"/>
      <c r="F58" s="555"/>
      <c r="G58" s="555"/>
      <c r="H58" s="555"/>
      <c r="I58" s="555"/>
      <c r="J58" s="556"/>
      <c r="K58" s="561"/>
      <c r="L58" s="564"/>
      <c r="M58" s="251" t="s">
        <v>300</v>
      </c>
      <c r="N58" s="95">
        <f>N49+N54</f>
        <v>39812</v>
      </c>
      <c r="O58" s="96">
        <f t="shared" si="0"/>
        <v>40762</v>
      </c>
      <c r="P58" s="96">
        <f t="shared" si="0"/>
        <v>9945</v>
      </c>
      <c r="Q58" s="96">
        <f t="shared" si="0"/>
        <v>0</v>
      </c>
      <c r="R58" s="277">
        <f t="shared" si="0"/>
        <v>0</v>
      </c>
      <c r="S58" s="567"/>
    </row>
    <row r="59" spans="1:19" s="3" customFormat="1" ht="15" customHeight="1">
      <c r="A59" s="636"/>
      <c r="B59" s="271"/>
      <c r="C59" s="554"/>
      <c r="D59" s="555"/>
      <c r="E59" s="555"/>
      <c r="F59" s="555"/>
      <c r="G59" s="555"/>
      <c r="H59" s="555"/>
      <c r="I59" s="555"/>
      <c r="J59" s="556"/>
      <c r="K59" s="561"/>
      <c r="L59" s="565"/>
      <c r="M59" s="267" t="s">
        <v>301</v>
      </c>
      <c r="N59" s="97">
        <f>SUM(N56:N58)</f>
        <v>265411</v>
      </c>
      <c r="O59" s="98">
        <f>SUM(O56:O58)</f>
        <v>271745</v>
      </c>
      <c r="P59" s="98">
        <f>SUM(P56:P58)</f>
        <v>66300</v>
      </c>
      <c r="Q59" s="98">
        <f>SUM(Q56:Q58)</f>
        <v>0</v>
      </c>
      <c r="R59" s="260">
        <f>SUM(R56:R58)</f>
        <v>0</v>
      </c>
      <c r="S59" s="567"/>
    </row>
    <row r="60" spans="1:19" s="3" customFormat="1" ht="15" customHeight="1">
      <c r="A60" s="636"/>
      <c r="B60" s="271"/>
      <c r="C60" s="554"/>
      <c r="D60" s="555"/>
      <c r="E60" s="555"/>
      <c r="F60" s="555"/>
      <c r="G60" s="555"/>
      <c r="H60" s="555"/>
      <c r="I60" s="555"/>
      <c r="J60" s="556"/>
      <c r="K60" s="561"/>
      <c r="L60" s="569" t="s">
        <v>302</v>
      </c>
      <c r="M60" s="250" t="s">
        <v>298</v>
      </c>
      <c r="N60" s="95">
        <f aca="true" t="shared" si="1" ref="N60:R62">N42+N37+N32+N27+N22+N17+N12</f>
        <v>130730248</v>
      </c>
      <c r="O60" s="96">
        <f t="shared" si="1"/>
        <v>128828510</v>
      </c>
      <c r="P60" s="96">
        <f t="shared" si="1"/>
        <v>95572500</v>
      </c>
      <c r="Q60" s="96">
        <f t="shared" si="1"/>
        <v>9659440</v>
      </c>
      <c r="R60" s="277">
        <f t="shared" si="1"/>
        <v>0</v>
      </c>
      <c r="S60" s="567"/>
    </row>
    <row r="61" spans="1:19" s="3" customFormat="1" ht="15" customHeight="1">
      <c r="A61" s="636"/>
      <c r="B61" s="271"/>
      <c r="C61" s="554"/>
      <c r="D61" s="555"/>
      <c r="E61" s="555"/>
      <c r="F61" s="555"/>
      <c r="G61" s="555"/>
      <c r="H61" s="555"/>
      <c r="I61" s="555"/>
      <c r="J61" s="556"/>
      <c r="K61" s="561"/>
      <c r="L61" s="564"/>
      <c r="M61" s="251" t="s">
        <v>299</v>
      </c>
      <c r="N61" s="95">
        <f t="shared" si="1"/>
        <v>0</v>
      </c>
      <c r="O61" s="96">
        <f t="shared" si="1"/>
        <v>0</v>
      </c>
      <c r="P61" s="96">
        <f t="shared" si="1"/>
        <v>0</v>
      </c>
      <c r="Q61" s="96">
        <f t="shared" si="1"/>
        <v>0</v>
      </c>
      <c r="R61" s="277">
        <f t="shared" si="1"/>
        <v>0</v>
      </c>
      <c r="S61" s="567"/>
    </row>
    <row r="62" spans="1:19" s="3" customFormat="1" ht="15" customHeight="1">
      <c r="A62" s="636"/>
      <c r="B62" s="271"/>
      <c r="C62" s="554"/>
      <c r="D62" s="555"/>
      <c r="E62" s="555"/>
      <c r="F62" s="555"/>
      <c r="G62" s="555"/>
      <c r="H62" s="555"/>
      <c r="I62" s="555"/>
      <c r="J62" s="556"/>
      <c r="K62" s="561"/>
      <c r="L62" s="564"/>
      <c r="M62" s="251" t="s">
        <v>300</v>
      </c>
      <c r="N62" s="95">
        <f t="shared" si="1"/>
        <v>227731284</v>
      </c>
      <c r="O62" s="96">
        <f t="shared" si="1"/>
        <v>139079440</v>
      </c>
      <c r="P62" s="96">
        <f t="shared" si="1"/>
        <v>83532880</v>
      </c>
      <c r="Q62" s="96">
        <f t="shared" si="1"/>
        <v>23240560</v>
      </c>
      <c r="R62" s="277">
        <f t="shared" si="1"/>
        <v>0</v>
      </c>
      <c r="S62" s="567"/>
    </row>
    <row r="63" spans="1:19" s="3" customFormat="1" ht="15" customHeight="1">
      <c r="A63" s="636"/>
      <c r="B63" s="271"/>
      <c r="C63" s="554"/>
      <c r="D63" s="555"/>
      <c r="E63" s="555"/>
      <c r="F63" s="555"/>
      <c r="G63" s="555"/>
      <c r="H63" s="555"/>
      <c r="I63" s="555"/>
      <c r="J63" s="556"/>
      <c r="K63" s="561"/>
      <c r="L63" s="565"/>
      <c r="M63" s="268" t="s">
        <v>301</v>
      </c>
      <c r="N63" s="95">
        <f>SUM(N60:N62)</f>
        <v>358461532</v>
      </c>
      <c r="O63" s="96">
        <f>SUM(O60:O62)</f>
        <v>267907950</v>
      </c>
      <c r="P63" s="96">
        <f>SUM(P60:P62)</f>
        <v>179105380</v>
      </c>
      <c r="Q63" s="96">
        <f>SUM(Q60:Q62)</f>
        <v>32900000</v>
      </c>
      <c r="R63" s="277">
        <f>SUM(R60:R62)</f>
        <v>0</v>
      </c>
      <c r="S63" s="567"/>
    </row>
    <row r="64" spans="1:19" s="272" customFormat="1" ht="15" customHeight="1">
      <c r="A64" s="636"/>
      <c r="B64" s="271"/>
      <c r="C64" s="554"/>
      <c r="D64" s="555"/>
      <c r="E64" s="555"/>
      <c r="F64" s="555"/>
      <c r="G64" s="555"/>
      <c r="H64" s="555"/>
      <c r="I64" s="555"/>
      <c r="J64" s="556"/>
      <c r="K64" s="561"/>
      <c r="L64" s="570" t="s">
        <v>301</v>
      </c>
      <c r="M64" s="261" t="s">
        <v>298</v>
      </c>
      <c r="N64" s="262">
        <f aca="true" t="shared" si="2" ref="N64:R66">N56+N60</f>
        <v>130955847</v>
      </c>
      <c r="O64" s="263">
        <f t="shared" si="2"/>
        <v>129059493</v>
      </c>
      <c r="P64" s="263">
        <f t="shared" si="2"/>
        <v>95628855</v>
      </c>
      <c r="Q64" s="263">
        <f t="shared" si="2"/>
        <v>9659440</v>
      </c>
      <c r="R64" s="264">
        <f t="shared" si="2"/>
        <v>0</v>
      </c>
      <c r="S64" s="567"/>
    </row>
    <row r="65" spans="1:19" s="272" customFormat="1" ht="15" customHeight="1">
      <c r="A65" s="636"/>
      <c r="B65" s="271"/>
      <c r="C65" s="554"/>
      <c r="D65" s="555"/>
      <c r="E65" s="555"/>
      <c r="F65" s="555"/>
      <c r="G65" s="555"/>
      <c r="H65" s="555"/>
      <c r="I65" s="555"/>
      <c r="J65" s="556"/>
      <c r="K65" s="561"/>
      <c r="L65" s="571"/>
      <c r="M65" s="258" t="s">
        <v>299</v>
      </c>
      <c r="N65" s="265">
        <f t="shared" si="2"/>
        <v>0</v>
      </c>
      <c r="O65" s="88">
        <f t="shared" si="2"/>
        <v>0</v>
      </c>
      <c r="P65" s="88">
        <f t="shared" si="2"/>
        <v>0</v>
      </c>
      <c r="Q65" s="88">
        <f t="shared" si="2"/>
        <v>0</v>
      </c>
      <c r="R65" s="266">
        <f t="shared" si="2"/>
        <v>0</v>
      </c>
      <c r="S65" s="567"/>
    </row>
    <row r="66" spans="1:19" s="272" customFormat="1" ht="15" customHeight="1">
      <c r="A66" s="636"/>
      <c r="B66" s="271"/>
      <c r="C66" s="554"/>
      <c r="D66" s="555"/>
      <c r="E66" s="555"/>
      <c r="F66" s="555"/>
      <c r="G66" s="555"/>
      <c r="H66" s="555"/>
      <c r="I66" s="555"/>
      <c r="J66" s="556"/>
      <c r="K66" s="561"/>
      <c r="L66" s="571"/>
      <c r="M66" s="258" t="s">
        <v>300</v>
      </c>
      <c r="N66" s="91">
        <f t="shared" si="2"/>
        <v>227771096</v>
      </c>
      <c r="O66" s="88">
        <f t="shared" si="2"/>
        <v>139120202</v>
      </c>
      <c r="P66" s="88">
        <f t="shared" si="2"/>
        <v>83542825</v>
      </c>
      <c r="Q66" s="88">
        <f t="shared" si="2"/>
        <v>23240560</v>
      </c>
      <c r="R66" s="266">
        <f t="shared" si="2"/>
        <v>0</v>
      </c>
      <c r="S66" s="567"/>
    </row>
    <row r="67" spans="1:19" s="273" customFormat="1" ht="15" customHeight="1" thickBot="1">
      <c r="A67" s="637"/>
      <c r="B67" s="271"/>
      <c r="C67" s="557"/>
      <c r="D67" s="558"/>
      <c r="E67" s="558"/>
      <c r="F67" s="558"/>
      <c r="G67" s="558"/>
      <c r="H67" s="558"/>
      <c r="I67" s="558"/>
      <c r="J67" s="559"/>
      <c r="K67" s="562"/>
      <c r="L67" s="572"/>
      <c r="M67" s="253" t="s">
        <v>301</v>
      </c>
      <c r="N67" s="254">
        <f>SUM(N64:N66)</f>
        <v>358726943</v>
      </c>
      <c r="O67" s="92">
        <f>SUM(O64:O66)</f>
        <v>268179695</v>
      </c>
      <c r="P67" s="92">
        <f>SUM(P64:P66)</f>
        <v>179171680</v>
      </c>
      <c r="Q67" s="92">
        <f>SUM(Q64:Q66)</f>
        <v>32900000</v>
      </c>
      <c r="R67" s="255">
        <f>SUM(R64:R66)</f>
        <v>0</v>
      </c>
      <c r="S67" s="568"/>
    </row>
    <row r="68" spans="1:19" s="195" customFormat="1" ht="20.25" customHeight="1" thickBot="1">
      <c r="A68" s="189"/>
      <c r="B68" s="190"/>
      <c r="C68" s="459" t="s">
        <v>435</v>
      </c>
      <c r="D68" s="455"/>
      <c r="E68" s="455"/>
      <c r="F68" s="455"/>
      <c r="G68" s="455"/>
      <c r="H68" s="455"/>
      <c r="I68" s="455"/>
      <c r="J68" s="455"/>
      <c r="K68" s="455"/>
      <c r="L68" s="455"/>
      <c r="M68" s="455"/>
      <c r="N68" s="193"/>
      <c r="O68" s="193"/>
      <c r="P68" s="193"/>
      <c r="Q68" s="193"/>
      <c r="R68" s="193"/>
      <c r="S68" s="194"/>
    </row>
    <row r="69" spans="1:19" s="37" customFormat="1" ht="20.25" customHeight="1" thickBot="1">
      <c r="A69" s="196"/>
      <c r="B69" s="105"/>
      <c r="C69" s="197" t="s">
        <v>533</v>
      </c>
      <c r="D69" s="196"/>
      <c r="E69" s="196"/>
      <c r="F69" s="196"/>
      <c r="G69" s="196"/>
      <c r="H69" s="196"/>
      <c r="I69" s="196"/>
      <c r="J69" s="196"/>
      <c r="K69" s="207"/>
      <c r="L69" s="196"/>
      <c r="M69" s="196"/>
      <c r="N69" s="196"/>
      <c r="O69" s="196"/>
      <c r="P69" s="196"/>
      <c r="Q69" s="196"/>
      <c r="R69" s="196"/>
      <c r="S69" s="198"/>
    </row>
    <row r="70" spans="1:19" s="143" customFormat="1" ht="15" customHeight="1">
      <c r="A70" s="638"/>
      <c r="B70" s="284"/>
      <c r="C70" s="518"/>
      <c r="D70" s="522" t="s">
        <v>541</v>
      </c>
      <c r="E70" s="522"/>
      <c r="F70" s="522"/>
      <c r="G70" s="523"/>
      <c r="H70" s="467" t="s">
        <v>543</v>
      </c>
      <c r="I70" s="467" t="s">
        <v>544</v>
      </c>
      <c r="J70" s="467" t="s">
        <v>542</v>
      </c>
      <c r="K70" s="468">
        <v>43487090</v>
      </c>
      <c r="L70" s="467" t="s">
        <v>302</v>
      </c>
      <c r="M70" s="142" t="s">
        <v>298</v>
      </c>
      <c r="N70" s="287">
        <v>21758090</v>
      </c>
      <c r="O70" s="288">
        <v>7788530</v>
      </c>
      <c r="P70" s="288"/>
      <c r="Q70" s="288"/>
      <c r="R70" s="28"/>
      <c r="S70" s="505">
        <v>43144080</v>
      </c>
    </row>
    <row r="71" spans="1:19" s="143" customFormat="1" ht="15" customHeight="1">
      <c r="A71" s="515"/>
      <c r="B71" s="284"/>
      <c r="C71" s="518"/>
      <c r="D71" s="522"/>
      <c r="E71" s="522"/>
      <c r="F71" s="522"/>
      <c r="G71" s="523"/>
      <c r="H71" s="509"/>
      <c r="I71" s="509"/>
      <c r="J71" s="509"/>
      <c r="K71" s="512"/>
      <c r="L71" s="509"/>
      <c r="M71" s="41" t="s">
        <v>299</v>
      </c>
      <c r="N71" s="35"/>
      <c r="O71" s="35"/>
      <c r="P71" s="35"/>
      <c r="Q71" s="35"/>
      <c r="R71" s="10"/>
      <c r="S71" s="506"/>
    </row>
    <row r="72" spans="1:19" s="143" customFormat="1" ht="15" customHeight="1">
      <c r="A72" s="515"/>
      <c r="B72" s="284"/>
      <c r="C72" s="518"/>
      <c r="D72" s="522"/>
      <c r="E72" s="522"/>
      <c r="F72" s="522"/>
      <c r="G72" s="523"/>
      <c r="H72" s="509"/>
      <c r="I72" s="509"/>
      <c r="J72" s="509"/>
      <c r="K72" s="512"/>
      <c r="L72" s="509"/>
      <c r="M72" s="41" t="s">
        <v>300</v>
      </c>
      <c r="N72" s="33">
        <v>10013150</v>
      </c>
      <c r="O72" s="35">
        <v>3584310</v>
      </c>
      <c r="P72" s="35"/>
      <c r="Q72" s="35"/>
      <c r="R72" s="10"/>
      <c r="S72" s="506"/>
    </row>
    <row r="73" spans="1:19" s="143" customFormat="1" ht="15" customHeight="1" thickBot="1">
      <c r="A73" s="516"/>
      <c r="B73" s="284"/>
      <c r="C73" s="519"/>
      <c r="D73" s="524"/>
      <c r="E73" s="524"/>
      <c r="F73" s="524"/>
      <c r="G73" s="525"/>
      <c r="H73" s="510"/>
      <c r="I73" s="510"/>
      <c r="J73" s="510"/>
      <c r="K73" s="513"/>
      <c r="L73" s="510"/>
      <c r="M73" s="13" t="s">
        <v>301</v>
      </c>
      <c r="N73" s="280">
        <f>SUM(N70:N72)</f>
        <v>31771240</v>
      </c>
      <c r="O73" s="279">
        <f>SUM(O70:O72)</f>
        <v>11372840</v>
      </c>
      <c r="P73" s="279">
        <f>SUM(P70:P72)</f>
        <v>0</v>
      </c>
      <c r="Q73" s="279">
        <f>SUM(Q70:Q72)</f>
        <v>0</v>
      </c>
      <c r="R73" s="279">
        <f>SUM(R70:R72)</f>
        <v>0</v>
      </c>
      <c r="S73" s="507"/>
    </row>
    <row r="74" spans="1:19" s="37" customFormat="1" ht="20.25" customHeight="1" thickBot="1">
      <c r="A74" s="196"/>
      <c r="B74" s="105"/>
      <c r="C74" s="197" t="s">
        <v>303</v>
      </c>
      <c r="D74" s="196"/>
      <c r="E74" s="196"/>
      <c r="F74" s="196"/>
      <c r="G74" s="196"/>
      <c r="H74" s="196"/>
      <c r="I74" s="196"/>
      <c r="J74" s="196"/>
      <c r="K74" s="831"/>
      <c r="L74" s="196"/>
      <c r="M74" s="196"/>
      <c r="N74" s="196"/>
      <c r="O74" s="196"/>
      <c r="P74" s="196"/>
      <c r="Q74" s="196"/>
      <c r="R74" s="196"/>
      <c r="S74" s="198"/>
    </row>
    <row r="75" spans="1:19" s="143" customFormat="1" ht="19.5" customHeight="1">
      <c r="A75" s="638">
        <v>75095</v>
      </c>
      <c r="B75" s="284"/>
      <c r="C75" s="518"/>
      <c r="D75" s="522" t="s">
        <v>304</v>
      </c>
      <c r="E75" s="522"/>
      <c r="F75" s="522"/>
      <c r="G75" s="523"/>
      <c r="H75" s="467" t="s">
        <v>305</v>
      </c>
      <c r="I75" s="467" t="s">
        <v>295</v>
      </c>
      <c r="J75" s="467" t="s">
        <v>306</v>
      </c>
      <c r="K75" s="468">
        <v>776307</v>
      </c>
      <c r="L75" s="467" t="s">
        <v>297</v>
      </c>
      <c r="M75" s="142" t="s">
        <v>298</v>
      </c>
      <c r="N75" s="287">
        <v>193738</v>
      </c>
      <c r="O75" s="288"/>
      <c r="P75" s="288"/>
      <c r="Q75" s="288"/>
      <c r="R75" s="28"/>
      <c r="S75" s="505">
        <v>0</v>
      </c>
    </row>
    <row r="76" spans="1:19" s="143" customFormat="1" ht="19.5" customHeight="1">
      <c r="A76" s="515"/>
      <c r="B76" s="284"/>
      <c r="C76" s="518"/>
      <c r="D76" s="522"/>
      <c r="E76" s="522"/>
      <c r="F76" s="522"/>
      <c r="G76" s="523"/>
      <c r="H76" s="509"/>
      <c r="I76" s="509"/>
      <c r="J76" s="509"/>
      <c r="K76" s="512"/>
      <c r="L76" s="509"/>
      <c r="M76" s="41" t="s">
        <v>299</v>
      </c>
      <c r="N76" s="35">
        <v>34189</v>
      </c>
      <c r="O76" s="35"/>
      <c r="P76" s="35"/>
      <c r="Q76" s="35"/>
      <c r="R76" s="10"/>
      <c r="S76" s="506"/>
    </row>
    <row r="77" spans="1:19" s="143" customFormat="1" ht="19.5" customHeight="1">
      <c r="A77" s="515"/>
      <c r="B77" s="284"/>
      <c r="C77" s="518"/>
      <c r="D77" s="522"/>
      <c r="E77" s="522"/>
      <c r="F77" s="522"/>
      <c r="G77" s="523"/>
      <c r="H77" s="509"/>
      <c r="I77" s="509"/>
      <c r="J77" s="509"/>
      <c r="K77" s="512"/>
      <c r="L77" s="509"/>
      <c r="M77" s="41" t="s">
        <v>300</v>
      </c>
      <c r="N77" s="33"/>
      <c r="O77" s="35"/>
      <c r="P77" s="35"/>
      <c r="Q77" s="35"/>
      <c r="R77" s="10"/>
      <c r="S77" s="506"/>
    </row>
    <row r="78" spans="1:19" s="143" customFormat="1" ht="19.5" customHeight="1" thickBot="1">
      <c r="A78" s="516"/>
      <c r="B78" s="284"/>
      <c r="C78" s="519"/>
      <c r="D78" s="524"/>
      <c r="E78" s="524"/>
      <c r="F78" s="524"/>
      <c r="G78" s="525"/>
      <c r="H78" s="510"/>
      <c r="I78" s="510"/>
      <c r="J78" s="510"/>
      <c r="K78" s="513"/>
      <c r="L78" s="510"/>
      <c r="M78" s="13" t="s">
        <v>301</v>
      </c>
      <c r="N78" s="280">
        <f>SUM(N75:N77)</f>
        <v>227927</v>
      </c>
      <c r="O78" s="279">
        <f>SUM(O75:O77)</f>
        <v>0</v>
      </c>
      <c r="P78" s="279">
        <f>SUM(P75:P77)</f>
        <v>0</v>
      </c>
      <c r="Q78" s="279">
        <f>SUM(Q75:Q77)</f>
        <v>0</v>
      </c>
      <c r="R78" s="279">
        <f>SUM(R75:R77)</f>
        <v>0</v>
      </c>
      <c r="S78" s="507"/>
    </row>
    <row r="79" spans="1:19" s="37" customFormat="1" ht="20.25" customHeight="1" thickBot="1">
      <c r="A79" s="196"/>
      <c r="B79" s="105"/>
      <c r="C79" s="197" t="s">
        <v>307</v>
      </c>
      <c r="D79" s="196"/>
      <c r="E79" s="196"/>
      <c r="F79" s="196"/>
      <c r="G79" s="196"/>
      <c r="H79" s="196"/>
      <c r="I79" s="196"/>
      <c r="J79" s="196"/>
      <c r="K79" s="831"/>
      <c r="L79" s="196"/>
      <c r="M79" s="196"/>
      <c r="N79" s="196"/>
      <c r="O79" s="196"/>
      <c r="P79" s="196"/>
      <c r="Q79" s="196"/>
      <c r="R79" s="196"/>
      <c r="S79" s="198"/>
    </row>
    <row r="80" spans="1:19" s="143" customFormat="1" ht="21" customHeight="1">
      <c r="A80" s="638">
        <v>75095</v>
      </c>
      <c r="B80" s="284"/>
      <c r="C80" s="518"/>
      <c r="D80" s="522" t="s">
        <v>437</v>
      </c>
      <c r="E80" s="522"/>
      <c r="F80" s="522"/>
      <c r="G80" s="523"/>
      <c r="H80" s="467" t="s">
        <v>434</v>
      </c>
      <c r="I80" s="467" t="s">
        <v>295</v>
      </c>
      <c r="J80" s="467" t="s">
        <v>313</v>
      </c>
      <c r="K80" s="468">
        <v>523032</v>
      </c>
      <c r="L80" s="467" t="s">
        <v>297</v>
      </c>
      <c r="M80" s="142" t="s">
        <v>298</v>
      </c>
      <c r="N80" s="287">
        <v>212049</v>
      </c>
      <c r="O80" s="288">
        <v>232528</v>
      </c>
      <c r="P80" s="288"/>
      <c r="Q80" s="288"/>
      <c r="R80" s="28"/>
      <c r="S80" s="505">
        <v>0</v>
      </c>
    </row>
    <row r="81" spans="1:19" s="143" customFormat="1" ht="21" customHeight="1">
      <c r="A81" s="515"/>
      <c r="B81" s="284"/>
      <c r="C81" s="518"/>
      <c r="D81" s="522"/>
      <c r="E81" s="522"/>
      <c r="F81" s="522"/>
      <c r="G81" s="523"/>
      <c r="H81" s="509"/>
      <c r="I81" s="509"/>
      <c r="J81" s="509"/>
      <c r="K81" s="512"/>
      <c r="L81" s="509"/>
      <c r="M81" s="41" t="s">
        <v>299</v>
      </c>
      <c r="N81" s="35">
        <v>37421</v>
      </c>
      <c r="O81" s="35">
        <v>41034</v>
      </c>
      <c r="P81" s="35"/>
      <c r="Q81" s="35"/>
      <c r="R81" s="10"/>
      <c r="S81" s="506"/>
    </row>
    <row r="82" spans="1:19" s="143" customFormat="1" ht="21" customHeight="1">
      <c r="A82" s="515"/>
      <c r="B82" s="284"/>
      <c r="C82" s="518"/>
      <c r="D82" s="522"/>
      <c r="E82" s="522"/>
      <c r="F82" s="522"/>
      <c r="G82" s="523"/>
      <c r="H82" s="509"/>
      <c r="I82" s="509"/>
      <c r="J82" s="509"/>
      <c r="K82" s="512"/>
      <c r="L82" s="509"/>
      <c r="M82" s="41" t="s">
        <v>300</v>
      </c>
      <c r="N82" s="33"/>
      <c r="O82" s="35"/>
      <c r="P82" s="35"/>
      <c r="Q82" s="35"/>
      <c r="R82" s="10"/>
      <c r="S82" s="506"/>
    </row>
    <row r="83" spans="1:19" s="143" customFormat="1" ht="21" customHeight="1" thickBot="1">
      <c r="A83" s="516"/>
      <c r="B83" s="284"/>
      <c r="C83" s="519"/>
      <c r="D83" s="524"/>
      <c r="E83" s="524"/>
      <c r="F83" s="524"/>
      <c r="G83" s="525"/>
      <c r="H83" s="510"/>
      <c r="I83" s="510"/>
      <c r="J83" s="510"/>
      <c r="K83" s="513"/>
      <c r="L83" s="510"/>
      <c r="M83" s="13" t="s">
        <v>301</v>
      </c>
      <c r="N83" s="280">
        <f>SUM(N80:N82)</f>
        <v>249470</v>
      </c>
      <c r="O83" s="279">
        <f>SUM(O80:O82)</f>
        <v>273562</v>
      </c>
      <c r="P83" s="279">
        <f>SUM(P80:P82)</f>
        <v>0</v>
      </c>
      <c r="Q83" s="279">
        <f>SUM(Q80:Q82)</f>
        <v>0</v>
      </c>
      <c r="R83" s="279">
        <f>SUM(R80:R82)</f>
        <v>0</v>
      </c>
      <c r="S83" s="507"/>
    </row>
    <row r="84" spans="1:19" s="12" customFormat="1" ht="15" customHeight="1">
      <c r="A84" s="607"/>
      <c r="B84" s="106"/>
      <c r="C84" s="610" t="s">
        <v>517</v>
      </c>
      <c r="D84" s="611"/>
      <c r="E84" s="611"/>
      <c r="F84" s="611"/>
      <c r="G84" s="611"/>
      <c r="H84" s="611"/>
      <c r="I84" s="611"/>
      <c r="J84" s="612"/>
      <c r="K84" s="560">
        <f>K75+K80+K70</f>
        <v>44786429</v>
      </c>
      <c r="L84" s="563" t="s">
        <v>297</v>
      </c>
      <c r="M84" s="111" t="s">
        <v>298</v>
      </c>
      <c r="N84" s="93">
        <f aca="true" t="shared" si="3" ref="N84:R86">N75+N80</f>
        <v>405787</v>
      </c>
      <c r="O84" s="94">
        <f t="shared" si="3"/>
        <v>232528</v>
      </c>
      <c r="P84" s="94">
        <f t="shared" si="3"/>
        <v>0</v>
      </c>
      <c r="Q84" s="94">
        <f t="shared" si="3"/>
        <v>0</v>
      </c>
      <c r="R84" s="276">
        <f t="shared" si="3"/>
        <v>0</v>
      </c>
      <c r="S84" s="566">
        <f>S75+S80+S70</f>
        <v>43144080</v>
      </c>
    </row>
    <row r="85" spans="1:19" s="12" customFormat="1" ht="15" customHeight="1">
      <c r="A85" s="608"/>
      <c r="B85" s="106"/>
      <c r="C85" s="613"/>
      <c r="D85" s="614"/>
      <c r="E85" s="614"/>
      <c r="F85" s="614"/>
      <c r="G85" s="614"/>
      <c r="H85" s="614"/>
      <c r="I85" s="614"/>
      <c r="J85" s="615"/>
      <c r="K85" s="561"/>
      <c r="L85" s="564"/>
      <c r="M85" s="251" t="s">
        <v>299</v>
      </c>
      <c r="N85" s="95">
        <f t="shared" si="3"/>
        <v>71610</v>
      </c>
      <c r="O85" s="96">
        <f t="shared" si="3"/>
        <v>41034</v>
      </c>
      <c r="P85" s="96">
        <f t="shared" si="3"/>
        <v>0</v>
      </c>
      <c r="Q85" s="96">
        <f t="shared" si="3"/>
        <v>0</v>
      </c>
      <c r="R85" s="277">
        <f t="shared" si="3"/>
        <v>0</v>
      </c>
      <c r="S85" s="567"/>
    </row>
    <row r="86" spans="1:19" s="12" customFormat="1" ht="15" customHeight="1">
      <c r="A86" s="608"/>
      <c r="B86" s="106"/>
      <c r="C86" s="613"/>
      <c r="D86" s="614"/>
      <c r="E86" s="614"/>
      <c r="F86" s="614"/>
      <c r="G86" s="614"/>
      <c r="H86" s="614"/>
      <c r="I86" s="614"/>
      <c r="J86" s="615"/>
      <c r="K86" s="561"/>
      <c r="L86" s="564"/>
      <c r="M86" s="251" t="s">
        <v>300</v>
      </c>
      <c r="N86" s="95">
        <f t="shared" si="3"/>
        <v>0</v>
      </c>
      <c r="O86" s="96">
        <f t="shared" si="3"/>
        <v>0</v>
      </c>
      <c r="P86" s="96">
        <f t="shared" si="3"/>
        <v>0</v>
      </c>
      <c r="Q86" s="96">
        <f t="shared" si="3"/>
        <v>0</v>
      </c>
      <c r="R86" s="277">
        <f t="shared" si="3"/>
        <v>0</v>
      </c>
      <c r="S86" s="567"/>
    </row>
    <row r="87" spans="1:19" s="12" customFormat="1" ht="15" customHeight="1">
      <c r="A87" s="608"/>
      <c r="B87" s="106"/>
      <c r="C87" s="613"/>
      <c r="D87" s="614"/>
      <c r="E87" s="614"/>
      <c r="F87" s="614"/>
      <c r="G87" s="614"/>
      <c r="H87" s="614"/>
      <c r="I87" s="614"/>
      <c r="J87" s="615"/>
      <c r="K87" s="561"/>
      <c r="L87" s="565"/>
      <c r="M87" s="267" t="s">
        <v>301</v>
      </c>
      <c r="N87" s="97">
        <f>SUM(N84:N86)</f>
        <v>477397</v>
      </c>
      <c r="O87" s="98">
        <f>SUM(O84:O86)</f>
        <v>273562</v>
      </c>
      <c r="P87" s="98">
        <f>SUM(P84:P86)</f>
        <v>0</v>
      </c>
      <c r="Q87" s="98">
        <f>SUM(Q84:Q86)</f>
        <v>0</v>
      </c>
      <c r="R87" s="260">
        <f>SUM(R84:R86)</f>
        <v>0</v>
      </c>
      <c r="S87" s="567"/>
    </row>
    <row r="88" spans="1:19" s="12" customFormat="1" ht="15" customHeight="1">
      <c r="A88" s="608"/>
      <c r="B88" s="106"/>
      <c r="C88" s="613"/>
      <c r="D88" s="614"/>
      <c r="E88" s="614"/>
      <c r="F88" s="614"/>
      <c r="G88" s="614"/>
      <c r="H88" s="614"/>
      <c r="I88" s="614"/>
      <c r="J88" s="615"/>
      <c r="K88" s="561"/>
      <c r="L88" s="569" t="s">
        <v>302</v>
      </c>
      <c r="M88" s="250" t="s">
        <v>298</v>
      </c>
      <c r="N88" s="95">
        <f aca="true" t="shared" si="4" ref="N88:R90">N70</f>
        <v>21758090</v>
      </c>
      <c r="O88" s="96">
        <f t="shared" si="4"/>
        <v>7788530</v>
      </c>
      <c r="P88" s="96">
        <f t="shared" si="4"/>
        <v>0</v>
      </c>
      <c r="Q88" s="96">
        <f t="shared" si="4"/>
        <v>0</v>
      </c>
      <c r="R88" s="277">
        <f t="shared" si="4"/>
        <v>0</v>
      </c>
      <c r="S88" s="567"/>
    </row>
    <row r="89" spans="1:19" s="12" customFormat="1" ht="15" customHeight="1">
      <c r="A89" s="608"/>
      <c r="B89" s="106"/>
      <c r="C89" s="613"/>
      <c r="D89" s="614"/>
      <c r="E89" s="614"/>
      <c r="F89" s="614"/>
      <c r="G89" s="614"/>
      <c r="H89" s="614"/>
      <c r="I89" s="614"/>
      <c r="J89" s="615"/>
      <c r="K89" s="561"/>
      <c r="L89" s="564"/>
      <c r="M89" s="251" t="s">
        <v>299</v>
      </c>
      <c r="N89" s="95">
        <f t="shared" si="4"/>
        <v>0</v>
      </c>
      <c r="O89" s="96">
        <f t="shared" si="4"/>
        <v>0</v>
      </c>
      <c r="P89" s="96">
        <f t="shared" si="4"/>
        <v>0</v>
      </c>
      <c r="Q89" s="96">
        <f t="shared" si="4"/>
        <v>0</v>
      </c>
      <c r="R89" s="277">
        <f t="shared" si="4"/>
        <v>0</v>
      </c>
      <c r="S89" s="567"/>
    </row>
    <row r="90" spans="1:19" s="12" customFormat="1" ht="15" customHeight="1">
      <c r="A90" s="608"/>
      <c r="B90" s="106"/>
      <c r="C90" s="613"/>
      <c r="D90" s="614"/>
      <c r="E90" s="614"/>
      <c r="F90" s="614"/>
      <c r="G90" s="614"/>
      <c r="H90" s="614"/>
      <c r="I90" s="614"/>
      <c r="J90" s="615"/>
      <c r="K90" s="561"/>
      <c r="L90" s="564"/>
      <c r="M90" s="251" t="s">
        <v>300</v>
      </c>
      <c r="N90" s="95">
        <f t="shared" si="4"/>
        <v>10013150</v>
      </c>
      <c r="O90" s="96">
        <f t="shared" si="4"/>
        <v>3584310</v>
      </c>
      <c r="P90" s="96">
        <f t="shared" si="4"/>
        <v>0</v>
      </c>
      <c r="Q90" s="96">
        <f t="shared" si="4"/>
        <v>0</v>
      </c>
      <c r="R90" s="277">
        <f t="shared" si="4"/>
        <v>0</v>
      </c>
      <c r="S90" s="567"/>
    </row>
    <row r="91" spans="1:19" s="12" customFormat="1" ht="15" customHeight="1">
      <c r="A91" s="608"/>
      <c r="B91" s="106"/>
      <c r="C91" s="613"/>
      <c r="D91" s="614"/>
      <c r="E91" s="614"/>
      <c r="F91" s="614"/>
      <c r="G91" s="614"/>
      <c r="H91" s="614"/>
      <c r="I91" s="614"/>
      <c r="J91" s="615"/>
      <c r="K91" s="561"/>
      <c r="L91" s="565"/>
      <c r="M91" s="268" t="s">
        <v>301</v>
      </c>
      <c r="N91" s="95">
        <f>SUM(N88:N90)</f>
        <v>31771240</v>
      </c>
      <c r="O91" s="96">
        <f>SUM(O88:O90)</f>
        <v>11372840</v>
      </c>
      <c r="P91" s="96">
        <f>SUM(P88:P90)</f>
        <v>0</v>
      </c>
      <c r="Q91" s="96">
        <f>SUM(Q88:Q90)</f>
        <v>0</v>
      </c>
      <c r="R91" s="277">
        <f>SUM(R88:R90)</f>
        <v>0</v>
      </c>
      <c r="S91" s="567"/>
    </row>
    <row r="92" spans="1:19" s="18" customFormat="1" ht="15" customHeight="1">
      <c r="A92" s="608"/>
      <c r="B92" s="106"/>
      <c r="C92" s="613"/>
      <c r="D92" s="614"/>
      <c r="E92" s="614"/>
      <c r="F92" s="614"/>
      <c r="G92" s="614"/>
      <c r="H92" s="614"/>
      <c r="I92" s="614"/>
      <c r="J92" s="615"/>
      <c r="K92" s="561"/>
      <c r="L92" s="570" t="s">
        <v>301</v>
      </c>
      <c r="M92" s="261" t="s">
        <v>298</v>
      </c>
      <c r="N92" s="262">
        <f aca="true" t="shared" si="5" ref="N92:R94">N84+N88</f>
        <v>22163877</v>
      </c>
      <c r="O92" s="263">
        <f t="shared" si="5"/>
        <v>8021058</v>
      </c>
      <c r="P92" s="263">
        <f t="shared" si="5"/>
        <v>0</v>
      </c>
      <c r="Q92" s="263">
        <f t="shared" si="5"/>
        <v>0</v>
      </c>
      <c r="R92" s="264">
        <f t="shared" si="5"/>
        <v>0</v>
      </c>
      <c r="S92" s="567"/>
    </row>
    <row r="93" spans="1:19" s="18" customFormat="1" ht="15" customHeight="1">
      <c r="A93" s="608"/>
      <c r="B93" s="106"/>
      <c r="C93" s="613"/>
      <c r="D93" s="614"/>
      <c r="E93" s="614"/>
      <c r="F93" s="614"/>
      <c r="G93" s="614"/>
      <c r="H93" s="614"/>
      <c r="I93" s="614"/>
      <c r="J93" s="615"/>
      <c r="K93" s="561"/>
      <c r="L93" s="571"/>
      <c r="M93" s="258" t="s">
        <v>299</v>
      </c>
      <c r="N93" s="265">
        <f t="shared" si="5"/>
        <v>71610</v>
      </c>
      <c r="O93" s="88">
        <f t="shared" si="5"/>
        <v>41034</v>
      </c>
      <c r="P93" s="88">
        <f t="shared" si="5"/>
        <v>0</v>
      </c>
      <c r="Q93" s="88">
        <f t="shared" si="5"/>
        <v>0</v>
      </c>
      <c r="R93" s="266">
        <f t="shared" si="5"/>
        <v>0</v>
      </c>
      <c r="S93" s="567"/>
    </row>
    <row r="94" spans="1:19" s="18" customFormat="1" ht="15" customHeight="1">
      <c r="A94" s="608"/>
      <c r="B94" s="106"/>
      <c r="C94" s="613"/>
      <c r="D94" s="614"/>
      <c r="E94" s="614"/>
      <c r="F94" s="614"/>
      <c r="G94" s="614"/>
      <c r="H94" s="614"/>
      <c r="I94" s="614"/>
      <c r="J94" s="615"/>
      <c r="K94" s="561"/>
      <c r="L94" s="571"/>
      <c r="M94" s="258" t="s">
        <v>300</v>
      </c>
      <c r="N94" s="91">
        <f t="shared" si="5"/>
        <v>10013150</v>
      </c>
      <c r="O94" s="88">
        <f t="shared" si="5"/>
        <v>3584310</v>
      </c>
      <c r="P94" s="88">
        <f t="shared" si="5"/>
        <v>0</v>
      </c>
      <c r="Q94" s="88">
        <f t="shared" si="5"/>
        <v>0</v>
      </c>
      <c r="R94" s="266">
        <f t="shared" si="5"/>
        <v>0</v>
      </c>
      <c r="S94" s="567"/>
    </row>
    <row r="95" spans="1:19" s="22" customFormat="1" ht="15" customHeight="1" thickBot="1">
      <c r="A95" s="609"/>
      <c r="B95" s="106"/>
      <c r="C95" s="616"/>
      <c r="D95" s="617"/>
      <c r="E95" s="617"/>
      <c r="F95" s="617"/>
      <c r="G95" s="617"/>
      <c r="H95" s="617"/>
      <c r="I95" s="617"/>
      <c r="J95" s="618"/>
      <c r="K95" s="562"/>
      <c r="L95" s="572"/>
      <c r="M95" s="253" t="s">
        <v>301</v>
      </c>
      <c r="N95" s="254">
        <f>SUM(N92:N94)</f>
        <v>32248637</v>
      </c>
      <c r="O95" s="92">
        <f>SUM(O92:O94)</f>
        <v>11646402</v>
      </c>
      <c r="P95" s="92">
        <f>SUM(P92:P94)</f>
        <v>0</v>
      </c>
      <c r="Q95" s="92">
        <f>SUM(Q92:Q94)</f>
        <v>0</v>
      </c>
      <c r="R95" s="255">
        <f>SUM(R92:R94)</f>
        <v>0</v>
      </c>
      <c r="S95" s="568"/>
    </row>
    <row r="96" spans="1:19" s="195" customFormat="1" ht="20.25" customHeight="1" thickBot="1">
      <c r="A96" s="189"/>
      <c r="B96" s="190"/>
      <c r="C96" s="459" t="s">
        <v>308</v>
      </c>
      <c r="D96" s="455" t="s">
        <v>309</v>
      </c>
      <c r="E96" s="455"/>
      <c r="F96" s="455"/>
      <c r="G96" s="455"/>
      <c r="H96" s="191"/>
      <c r="I96" s="191"/>
      <c r="J96" s="191"/>
      <c r="K96" s="206"/>
      <c r="L96" s="189"/>
      <c r="M96" s="192"/>
      <c r="N96" s="193"/>
      <c r="O96" s="193"/>
      <c r="P96" s="193"/>
      <c r="Q96" s="193"/>
      <c r="R96" s="193"/>
      <c r="S96" s="194"/>
    </row>
    <row r="97" spans="1:19" s="37" customFormat="1" ht="20.25" customHeight="1" thickBot="1">
      <c r="A97" s="196"/>
      <c r="B97" s="105"/>
      <c r="C97" s="197" t="s">
        <v>310</v>
      </c>
      <c r="D97" s="196"/>
      <c r="E97" s="196"/>
      <c r="F97" s="196"/>
      <c r="G97" s="196"/>
      <c r="H97" s="196"/>
      <c r="I97" s="196"/>
      <c r="J97" s="196"/>
      <c r="K97" s="207"/>
      <c r="L97" s="196"/>
      <c r="M97" s="196"/>
      <c r="N97" s="196"/>
      <c r="O97" s="196"/>
      <c r="P97" s="196"/>
      <c r="Q97" s="196"/>
      <c r="R97" s="196"/>
      <c r="S97" s="198"/>
    </row>
    <row r="98" spans="1:19" s="143" customFormat="1" ht="18.75" customHeight="1">
      <c r="A98" s="638">
        <v>75023</v>
      </c>
      <c r="B98" s="284"/>
      <c r="C98" s="518"/>
      <c r="D98" s="522" t="s">
        <v>311</v>
      </c>
      <c r="E98" s="522"/>
      <c r="F98" s="522"/>
      <c r="G98" s="523"/>
      <c r="H98" s="467" t="s">
        <v>312</v>
      </c>
      <c r="I98" s="467" t="s">
        <v>295</v>
      </c>
      <c r="J98" s="467" t="s">
        <v>313</v>
      </c>
      <c r="K98" s="468">
        <f>583280+3547</f>
        <v>586827</v>
      </c>
      <c r="L98" s="467" t="s">
        <v>297</v>
      </c>
      <c r="M98" s="248" t="s">
        <v>298</v>
      </c>
      <c r="N98" s="295">
        <v>164200</v>
      </c>
      <c r="O98" s="296">
        <v>22500</v>
      </c>
      <c r="P98" s="296"/>
      <c r="Q98" s="296"/>
      <c r="R98" s="9"/>
      <c r="S98" s="505">
        <v>164200</v>
      </c>
    </row>
    <row r="99" spans="1:19" s="143" customFormat="1" ht="18.75" customHeight="1">
      <c r="A99" s="515"/>
      <c r="B99" s="284"/>
      <c r="C99" s="518"/>
      <c r="D99" s="522"/>
      <c r="E99" s="522"/>
      <c r="F99" s="522"/>
      <c r="G99" s="523"/>
      <c r="H99" s="509"/>
      <c r="I99" s="509"/>
      <c r="J99" s="509"/>
      <c r="K99" s="512"/>
      <c r="L99" s="509"/>
      <c r="M99" s="41" t="s">
        <v>299</v>
      </c>
      <c r="N99" s="35"/>
      <c r="O99" s="35"/>
      <c r="P99" s="35"/>
      <c r="Q99" s="35"/>
      <c r="R99" s="10"/>
      <c r="S99" s="506"/>
    </row>
    <row r="100" spans="1:19" s="143" customFormat="1" ht="18.75" customHeight="1">
      <c r="A100" s="515"/>
      <c r="B100" s="284"/>
      <c r="C100" s="518"/>
      <c r="D100" s="522"/>
      <c r="E100" s="522"/>
      <c r="F100" s="522"/>
      <c r="G100" s="523"/>
      <c r="H100" s="509"/>
      <c r="I100" s="509"/>
      <c r="J100" s="509"/>
      <c r="K100" s="512"/>
      <c r="L100" s="509"/>
      <c r="M100" s="41" t="s">
        <v>300</v>
      </c>
      <c r="N100" s="33"/>
      <c r="O100" s="35"/>
      <c r="P100" s="35"/>
      <c r="Q100" s="35"/>
      <c r="R100" s="10"/>
      <c r="S100" s="506"/>
    </row>
    <row r="101" spans="1:19" s="143" customFormat="1" ht="18.75" customHeight="1" thickBot="1">
      <c r="A101" s="516"/>
      <c r="B101" s="284"/>
      <c r="C101" s="519"/>
      <c r="D101" s="524"/>
      <c r="E101" s="524"/>
      <c r="F101" s="524"/>
      <c r="G101" s="525"/>
      <c r="H101" s="510"/>
      <c r="I101" s="510"/>
      <c r="J101" s="510"/>
      <c r="K101" s="513"/>
      <c r="L101" s="510"/>
      <c r="M101" s="282" t="s">
        <v>301</v>
      </c>
      <c r="N101" s="280">
        <f>SUM(N98:N100)</f>
        <v>164200</v>
      </c>
      <c r="O101" s="283">
        <f>SUM(O98:O100)</f>
        <v>22500</v>
      </c>
      <c r="P101" s="283">
        <f>SUM(P98:P100)</f>
        <v>0</v>
      </c>
      <c r="Q101" s="283">
        <f>SUM(Q98:Q100)</f>
        <v>0</v>
      </c>
      <c r="R101" s="283">
        <f>SUM(R98:R100)</f>
        <v>0</v>
      </c>
      <c r="S101" s="507"/>
    </row>
    <row r="102" spans="1:19" s="272" customFormat="1" ht="15" customHeight="1">
      <c r="A102" s="691"/>
      <c r="B102" s="271"/>
      <c r="C102" s="593" t="s">
        <v>518</v>
      </c>
      <c r="D102" s="594"/>
      <c r="E102" s="594"/>
      <c r="F102" s="594"/>
      <c r="G102" s="594"/>
      <c r="H102" s="594"/>
      <c r="I102" s="594"/>
      <c r="J102" s="595"/>
      <c r="K102" s="619">
        <f>K98</f>
        <v>586827</v>
      </c>
      <c r="L102" s="626" t="s">
        <v>301</v>
      </c>
      <c r="M102" s="261" t="s">
        <v>298</v>
      </c>
      <c r="N102" s="262">
        <f aca="true" t="shared" si="6" ref="N102:S102">N98</f>
        <v>164200</v>
      </c>
      <c r="O102" s="263">
        <f t="shared" si="6"/>
        <v>22500</v>
      </c>
      <c r="P102" s="263">
        <f t="shared" si="6"/>
        <v>0</v>
      </c>
      <c r="Q102" s="263">
        <f t="shared" si="6"/>
        <v>0</v>
      </c>
      <c r="R102" s="264">
        <f t="shared" si="6"/>
        <v>0</v>
      </c>
      <c r="S102" s="567">
        <f t="shared" si="6"/>
        <v>164200</v>
      </c>
    </row>
    <row r="103" spans="1:19" s="272" customFormat="1" ht="15" customHeight="1">
      <c r="A103" s="692"/>
      <c r="B103" s="271"/>
      <c r="C103" s="593"/>
      <c r="D103" s="596"/>
      <c r="E103" s="596"/>
      <c r="F103" s="596"/>
      <c r="G103" s="596"/>
      <c r="H103" s="596"/>
      <c r="I103" s="596"/>
      <c r="J103" s="597"/>
      <c r="K103" s="620"/>
      <c r="L103" s="627"/>
      <c r="M103" s="258" t="s">
        <v>299</v>
      </c>
      <c r="N103" s="265">
        <f aca="true" t="shared" si="7" ref="N103:R104">N99</f>
        <v>0</v>
      </c>
      <c r="O103" s="88">
        <f t="shared" si="7"/>
        <v>0</v>
      </c>
      <c r="P103" s="88">
        <f t="shared" si="7"/>
        <v>0</v>
      </c>
      <c r="Q103" s="88">
        <f t="shared" si="7"/>
        <v>0</v>
      </c>
      <c r="R103" s="266">
        <f t="shared" si="7"/>
        <v>0</v>
      </c>
      <c r="S103" s="567"/>
    </row>
    <row r="104" spans="1:19" s="272" customFormat="1" ht="15" customHeight="1">
      <c r="A104" s="692"/>
      <c r="B104" s="271"/>
      <c r="C104" s="593"/>
      <c r="D104" s="596"/>
      <c r="E104" s="596"/>
      <c r="F104" s="596"/>
      <c r="G104" s="596"/>
      <c r="H104" s="596"/>
      <c r="I104" s="596"/>
      <c r="J104" s="597"/>
      <c r="K104" s="620"/>
      <c r="L104" s="627"/>
      <c r="M104" s="258" t="s">
        <v>300</v>
      </c>
      <c r="N104" s="91">
        <f t="shared" si="7"/>
        <v>0</v>
      </c>
      <c r="O104" s="88">
        <f t="shared" si="7"/>
        <v>0</v>
      </c>
      <c r="P104" s="88">
        <f t="shared" si="7"/>
        <v>0</v>
      </c>
      <c r="Q104" s="88">
        <f t="shared" si="7"/>
        <v>0</v>
      </c>
      <c r="R104" s="266">
        <f t="shared" si="7"/>
        <v>0</v>
      </c>
      <c r="S104" s="567"/>
    </row>
    <row r="105" spans="1:19" s="273" customFormat="1" ht="15" customHeight="1" thickBot="1">
      <c r="A105" s="693"/>
      <c r="B105" s="271"/>
      <c r="C105" s="598"/>
      <c r="D105" s="599"/>
      <c r="E105" s="599"/>
      <c r="F105" s="599"/>
      <c r="G105" s="599"/>
      <c r="H105" s="599"/>
      <c r="I105" s="599"/>
      <c r="J105" s="600"/>
      <c r="K105" s="621"/>
      <c r="L105" s="628"/>
      <c r="M105" s="253" t="s">
        <v>301</v>
      </c>
      <c r="N105" s="254">
        <f>SUM(N102:N104)</f>
        <v>164200</v>
      </c>
      <c r="O105" s="92">
        <f>SUM(O102:O104)</f>
        <v>22500</v>
      </c>
      <c r="P105" s="92">
        <f>SUM(P102:P104)</f>
        <v>0</v>
      </c>
      <c r="Q105" s="92">
        <f>SUM(Q102:Q104)</f>
        <v>0</v>
      </c>
      <c r="R105" s="255">
        <f>SUM(R102:R104)</f>
        <v>0</v>
      </c>
      <c r="S105" s="568"/>
    </row>
    <row r="106" spans="1:19" s="195" customFormat="1" ht="22.5" customHeight="1" thickBot="1">
      <c r="A106" s="189"/>
      <c r="B106" s="190"/>
      <c r="C106" s="459" t="s">
        <v>314</v>
      </c>
      <c r="D106" s="455" t="s">
        <v>309</v>
      </c>
      <c r="E106" s="455"/>
      <c r="F106" s="455"/>
      <c r="G106" s="455"/>
      <c r="H106" s="191"/>
      <c r="I106" s="191"/>
      <c r="J106" s="191"/>
      <c r="K106" s="206"/>
      <c r="L106" s="189"/>
      <c r="M106" s="192"/>
      <c r="N106" s="193"/>
      <c r="O106" s="193"/>
      <c r="P106" s="193"/>
      <c r="Q106" s="193"/>
      <c r="R106" s="193"/>
      <c r="S106" s="194"/>
    </row>
    <row r="107" spans="1:19" s="37" customFormat="1" ht="20.25" customHeight="1" thickBot="1">
      <c r="A107" s="196"/>
      <c r="B107" s="105"/>
      <c r="C107" s="197" t="s">
        <v>315</v>
      </c>
      <c r="D107" s="196"/>
      <c r="E107" s="196"/>
      <c r="F107" s="196"/>
      <c r="G107" s="196"/>
      <c r="H107" s="196"/>
      <c r="I107" s="196"/>
      <c r="J107" s="196"/>
      <c r="K107" s="207"/>
      <c r="L107" s="196"/>
      <c r="M107" s="196"/>
      <c r="N107" s="196"/>
      <c r="O107" s="196"/>
      <c r="P107" s="196"/>
      <c r="Q107" s="196"/>
      <c r="R107" s="196"/>
      <c r="S107" s="198"/>
    </row>
    <row r="108" spans="1:19" s="143" customFormat="1" ht="15" customHeight="1">
      <c r="A108" s="638">
        <v>80101</v>
      </c>
      <c r="B108" s="284"/>
      <c r="C108" s="518"/>
      <c r="D108" s="522" t="s">
        <v>316</v>
      </c>
      <c r="E108" s="522"/>
      <c r="F108" s="522"/>
      <c r="G108" s="523"/>
      <c r="H108" s="467" t="s">
        <v>317</v>
      </c>
      <c r="I108" s="467" t="s">
        <v>295</v>
      </c>
      <c r="J108" s="467" t="s">
        <v>318</v>
      </c>
      <c r="K108" s="511">
        <v>2452500</v>
      </c>
      <c r="L108" s="467" t="s">
        <v>297</v>
      </c>
      <c r="M108" s="142" t="s">
        <v>319</v>
      </c>
      <c r="N108" s="287">
        <v>20220</v>
      </c>
      <c r="O108" s="288"/>
      <c r="P108" s="288"/>
      <c r="Q108" s="288"/>
      <c r="R108" s="28"/>
      <c r="S108" s="505">
        <v>38049</v>
      </c>
    </row>
    <row r="109" spans="1:19" s="143" customFormat="1" ht="15" customHeight="1">
      <c r="A109" s="515"/>
      <c r="B109" s="284"/>
      <c r="C109" s="518"/>
      <c r="D109" s="522"/>
      <c r="E109" s="522"/>
      <c r="F109" s="522"/>
      <c r="G109" s="523"/>
      <c r="H109" s="509"/>
      <c r="I109" s="509"/>
      <c r="J109" s="509"/>
      <c r="K109" s="468"/>
      <c r="L109" s="509"/>
      <c r="M109" s="41" t="s">
        <v>299</v>
      </c>
      <c r="N109" s="35"/>
      <c r="O109" s="35"/>
      <c r="P109" s="35"/>
      <c r="Q109" s="35"/>
      <c r="R109" s="10"/>
      <c r="S109" s="506"/>
    </row>
    <row r="110" spans="1:19" s="143" customFormat="1" ht="15" customHeight="1">
      <c r="A110" s="515"/>
      <c r="B110" s="284"/>
      <c r="C110" s="518"/>
      <c r="D110" s="522"/>
      <c r="E110" s="522"/>
      <c r="F110" s="522"/>
      <c r="G110" s="523"/>
      <c r="H110" s="509"/>
      <c r="I110" s="509"/>
      <c r="J110" s="509"/>
      <c r="K110" s="468"/>
      <c r="L110" s="509"/>
      <c r="M110" s="41" t="s">
        <v>300</v>
      </c>
      <c r="N110" s="33">
        <v>17829</v>
      </c>
      <c r="O110" s="35"/>
      <c r="P110" s="35"/>
      <c r="Q110" s="35"/>
      <c r="R110" s="10"/>
      <c r="S110" s="506"/>
    </row>
    <row r="111" spans="1:19" s="143" customFormat="1" ht="15" customHeight="1" thickBot="1">
      <c r="A111" s="516"/>
      <c r="B111" s="284"/>
      <c r="C111" s="519"/>
      <c r="D111" s="524"/>
      <c r="E111" s="524"/>
      <c r="F111" s="524"/>
      <c r="G111" s="525"/>
      <c r="H111" s="510"/>
      <c r="I111" s="510"/>
      <c r="J111" s="510"/>
      <c r="K111" s="470"/>
      <c r="L111" s="510"/>
      <c r="M111" s="13" t="s">
        <v>301</v>
      </c>
      <c r="N111" s="280">
        <f>SUM(N108:N110)</f>
        <v>38049</v>
      </c>
      <c r="O111" s="279">
        <f>SUM(O108:O110)</f>
        <v>0</v>
      </c>
      <c r="P111" s="279">
        <f>SUM(P108:P110)</f>
        <v>0</v>
      </c>
      <c r="Q111" s="279">
        <f>SUM(Q108:Q110)</f>
        <v>0</v>
      </c>
      <c r="R111" s="279">
        <f>SUM(R108:R110)</f>
        <v>0</v>
      </c>
      <c r="S111" s="507"/>
    </row>
    <row r="112" spans="1:19" s="37" customFormat="1" ht="20.25" customHeight="1" thickBot="1">
      <c r="A112" s="196"/>
      <c r="B112" s="105"/>
      <c r="C112" s="197" t="s">
        <v>320</v>
      </c>
      <c r="D112" s="196"/>
      <c r="E112" s="196"/>
      <c r="F112" s="196"/>
      <c r="G112" s="196"/>
      <c r="H112" s="196"/>
      <c r="I112" s="196"/>
      <c r="J112" s="196"/>
      <c r="K112" s="207"/>
      <c r="L112" s="196"/>
      <c r="M112" s="196"/>
      <c r="N112" s="196"/>
      <c r="O112" s="196"/>
      <c r="P112" s="196"/>
      <c r="Q112" s="196"/>
      <c r="R112" s="196"/>
      <c r="S112" s="198"/>
    </row>
    <row r="113" spans="1:19" s="143" customFormat="1" ht="16.5" customHeight="1">
      <c r="A113" s="640">
        <v>80130</v>
      </c>
      <c r="B113" s="284"/>
      <c r="C113" s="517"/>
      <c r="D113" s="520" t="s">
        <v>132</v>
      </c>
      <c r="E113" s="520"/>
      <c r="F113" s="520"/>
      <c r="G113" s="521"/>
      <c r="H113" s="508" t="s">
        <v>321</v>
      </c>
      <c r="I113" s="508" t="s">
        <v>322</v>
      </c>
      <c r="J113" s="508" t="s">
        <v>313</v>
      </c>
      <c r="K113" s="511">
        <v>471094</v>
      </c>
      <c r="L113" s="508" t="s">
        <v>297</v>
      </c>
      <c r="M113" s="142" t="s">
        <v>298</v>
      </c>
      <c r="N113" s="8">
        <v>190307</v>
      </c>
      <c r="O113" s="9">
        <v>114393</v>
      </c>
      <c r="P113" s="9"/>
      <c r="Q113" s="9"/>
      <c r="R113" s="9"/>
      <c r="S113" s="505">
        <v>0</v>
      </c>
    </row>
    <row r="114" spans="1:19" s="143" customFormat="1" ht="16.5" customHeight="1">
      <c r="A114" s="584"/>
      <c r="B114" s="284"/>
      <c r="C114" s="518"/>
      <c r="D114" s="522"/>
      <c r="E114" s="522"/>
      <c r="F114" s="522"/>
      <c r="G114" s="523"/>
      <c r="H114" s="467"/>
      <c r="I114" s="467"/>
      <c r="J114" s="467"/>
      <c r="K114" s="468"/>
      <c r="L114" s="467"/>
      <c r="M114" s="41" t="s">
        <v>299</v>
      </c>
      <c r="N114" s="10">
        <v>93</v>
      </c>
      <c r="O114" s="10">
        <v>997</v>
      </c>
      <c r="P114" s="10"/>
      <c r="Q114" s="10"/>
      <c r="R114" s="10"/>
      <c r="S114" s="506"/>
    </row>
    <row r="115" spans="1:19" s="143" customFormat="1" ht="28.5" customHeight="1">
      <c r="A115" s="584"/>
      <c r="B115" s="284"/>
      <c r="C115" s="518"/>
      <c r="D115" s="522"/>
      <c r="E115" s="522"/>
      <c r="F115" s="522"/>
      <c r="G115" s="523"/>
      <c r="H115" s="467"/>
      <c r="I115" s="467"/>
      <c r="J115" s="467"/>
      <c r="K115" s="468"/>
      <c r="L115" s="467"/>
      <c r="M115" s="41" t="s">
        <v>323</v>
      </c>
      <c r="N115" s="11">
        <v>33490</v>
      </c>
      <c r="O115" s="10">
        <v>19190</v>
      </c>
      <c r="P115" s="10"/>
      <c r="Q115" s="10"/>
      <c r="R115" s="10"/>
      <c r="S115" s="506"/>
    </row>
    <row r="116" spans="1:19" s="143" customFormat="1" ht="16.5" customHeight="1" thickBot="1">
      <c r="A116" s="585"/>
      <c r="B116" s="284"/>
      <c r="C116" s="519"/>
      <c r="D116" s="524"/>
      <c r="E116" s="524"/>
      <c r="F116" s="524"/>
      <c r="G116" s="525"/>
      <c r="H116" s="469"/>
      <c r="I116" s="469"/>
      <c r="J116" s="469"/>
      <c r="K116" s="470"/>
      <c r="L116" s="469"/>
      <c r="M116" s="282" t="s">
        <v>301</v>
      </c>
      <c r="N116" s="20">
        <f>SUM(N113:N115)</f>
        <v>223890</v>
      </c>
      <c r="O116" s="283">
        <f>SUM(O113:O115)</f>
        <v>134580</v>
      </c>
      <c r="P116" s="283">
        <f>SUM(P113:P115)</f>
        <v>0</v>
      </c>
      <c r="Q116" s="283">
        <f>SUM(Q113:Q115)</f>
        <v>0</v>
      </c>
      <c r="R116" s="283">
        <f>SUM(R113:R115)</f>
        <v>0</v>
      </c>
      <c r="S116" s="507"/>
    </row>
    <row r="117" spans="1:19" s="37" customFormat="1" ht="20.25" customHeight="1" thickBot="1">
      <c r="A117" s="196"/>
      <c r="B117" s="105"/>
      <c r="C117" s="197" t="s">
        <v>324</v>
      </c>
      <c r="D117" s="196"/>
      <c r="E117" s="196"/>
      <c r="F117" s="196"/>
      <c r="G117" s="196"/>
      <c r="H117" s="196"/>
      <c r="I117" s="196"/>
      <c r="J117" s="196"/>
      <c r="K117" s="207"/>
      <c r="L117" s="196"/>
      <c r="M117" s="196"/>
      <c r="N117" s="196"/>
      <c r="O117" s="196"/>
      <c r="P117" s="196"/>
      <c r="Q117" s="196"/>
      <c r="R117" s="196"/>
      <c r="S117" s="198"/>
    </row>
    <row r="118" spans="1:19" s="143" customFormat="1" ht="15" customHeight="1">
      <c r="A118" s="640">
        <v>80130</v>
      </c>
      <c r="B118" s="284"/>
      <c r="C118" s="517"/>
      <c r="D118" s="520" t="s">
        <v>325</v>
      </c>
      <c r="E118" s="520"/>
      <c r="F118" s="520"/>
      <c r="G118" s="521"/>
      <c r="H118" s="508" t="s">
        <v>321</v>
      </c>
      <c r="I118" s="508" t="s">
        <v>326</v>
      </c>
      <c r="J118" s="508" t="s">
        <v>327</v>
      </c>
      <c r="K118" s="511">
        <v>1994386</v>
      </c>
      <c r="L118" s="508" t="s">
        <v>297</v>
      </c>
      <c r="M118" s="142" t="s">
        <v>298</v>
      </c>
      <c r="N118" s="8">
        <v>1278167</v>
      </c>
      <c r="O118" s="9">
        <v>417061</v>
      </c>
      <c r="P118" s="9"/>
      <c r="Q118" s="9"/>
      <c r="R118" s="9"/>
      <c r="S118" s="505">
        <v>0</v>
      </c>
    </row>
    <row r="119" spans="1:19" s="143" customFormat="1" ht="15" customHeight="1">
      <c r="A119" s="584"/>
      <c r="B119" s="284"/>
      <c r="C119" s="518"/>
      <c r="D119" s="522"/>
      <c r="E119" s="522"/>
      <c r="F119" s="522"/>
      <c r="G119" s="523"/>
      <c r="H119" s="467"/>
      <c r="I119" s="467"/>
      <c r="J119" s="467"/>
      <c r="K119" s="468"/>
      <c r="L119" s="467"/>
      <c r="M119" s="41" t="s">
        <v>299</v>
      </c>
      <c r="N119" s="10">
        <v>33834</v>
      </c>
      <c r="O119" s="10">
        <v>11039</v>
      </c>
      <c r="P119" s="10"/>
      <c r="Q119" s="10"/>
      <c r="R119" s="10"/>
      <c r="S119" s="506"/>
    </row>
    <row r="120" spans="1:19" s="143" customFormat="1" ht="15" customHeight="1">
      <c r="A120" s="584"/>
      <c r="B120" s="284"/>
      <c r="C120" s="518"/>
      <c r="D120" s="522"/>
      <c r="E120" s="522"/>
      <c r="F120" s="522"/>
      <c r="G120" s="523"/>
      <c r="H120" s="467"/>
      <c r="I120" s="467"/>
      <c r="J120" s="467"/>
      <c r="K120" s="468"/>
      <c r="L120" s="467"/>
      <c r="M120" s="41" t="s">
        <v>300</v>
      </c>
      <c r="N120" s="11">
        <v>118421</v>
      </c>
      <c r="O120" s="10">
        <v>1360</v>
      </c>
      <c r="P120" s="10"/>
      <c r="Q120" s="10"/>
      <c r="R120" s="10"/>
      <c r="S120" s="506"/>
    </row>
    <row r="121" spans="1:19" s="143" customFormat="1" ht="25.5">
      <c r="A121" s="584"/>
      <c r="B121" s="284"/>
      <c r="C121" s="518"/>
      <c r="D121" s="522"/>
      <c r="E121" s="522"/>
      <c r="F121" s="522"/>
      <c r="G121" s="523"/>
      <c r="H121" s="467"/>
      <c r="I121" s="467"/>
      <c r="J121" s="467"/>
      <c r="K121" s="468"/>
      <c r="L121" s="467"/>
      <c r="M121" s="41" t="s">
        <v>323</v>
      </c>
      <c r="N121" s="23">
        <v>73304</v>
      </c>
      <c r="O121" s="24">
        <v>61200</v>
      </c>
      <c r="P121" s="24"/>
      <c r="Q121" s="24"/>
      <c r="R121" s="24"/>
      <c r="S121" s="506"/>
    </row>
    <row r="122" spans="1:19" s="143" customFormat="1" ht="15" customHeight="1" thickBot="1">
      <c r="A122" s="585"/>
      <c r="B122" s="284"/>
      <c r="C122" s="519"/>
      <c r="D122" s="524"/>
      <c r="E122" s="524"/>
      <c r="F122" s="524"/>
      <c r="G122" s="525"/>
      <c r="H122" s="469"/>
      <c r="I122" s="469"/>
      <c r="J122" s="469"/>
      <c r="K122" s="470"/>
      <c r="L122" s="469"/>
      <c r="M122" s="282" t="s">
        <v>301</v>
      </c>
      <c r="N122" s="20">
        <f>SUM(N118:N121)</f>
        <v>1503726</v>
      </c>
      <c r="O122" s="283">
        <f>SUM(O118:O121)</f>
        <v>490660</v>
      </c>
      <c r="P122" s="283">
        <f>SUM(P118:P120)</f>
        <v>0</v>
      </c>
      <c r="Q122" s="283">
        <f>SUM(Q118:Q120)</f>
        <v>0</v>
      </c>
      <c r="R122" s="283">
        <f>SUM(R118:R120)</f>
        <v>0</v>
      </c>
      <c r="S122" s="507"/>
    </row>
    <row r="123" spans="1:19" s="37" customFormat="1" ht="20.25" customHeight="1" thickBot="1">
      <c r="A123" s="196"/>
      <c r="B123" s="105"/>
      <c r="C123" s="197" t="s">
        <v>328</v>
      </c>
      <c r="D123" s="196"/>
      <c r="E123" s="196"/>
      <c r="F123" s="196"/>
      <c r="G123" s="196"/>
      <c r="H123" s="196"/>
      <c r="I123" s="196"/>
      <c r="J123" s="196"/>
      <c r="K123" s="207"/>
      <c r="L123" s="196"/>
      <c r="M123" s="196"/>
      <c r="N123" s="196"/>
      <c r="O123" s="196"/>
      <c r="P123" s="196"/>
      <c r="Q123" s="196"/>
      <c r="R123" s="196"/>
      <c r="S123" s="198"/>
    </row>
    <row r="124" spans="1:19" s="143" customFormat="1" ht="17.25" customHeight="1">
      <c r="A124" s="584">
        <v>80130</v>
      </c>
      <c r="B124" s="284"/>
      <c r="C124" s="517"/>
      <c r="D124" s="520" t="s">
        <v>329</v>
      </c>
      <c r="E124" s="520"/>
      <c r="F124" s="520"/>
      <c r="G124" s="521"/>
      <c r="H124" s="467" t="s">
        <v>330</v>
      </c>
      <c r="I124" s="508" t="s">
        <v>331</v>
      </c>
      <c r="J124" s="467" t="s">
        <v>332</v>
      </c>
      <c r="K124" s="453">
        <v>511850</v>
      </c>
      <c r="L124" s="467" t="s">
        <v>297</v>
      </c>
      <c r="M124" s="142" t="s">
        <v>298</v>
      </c>
      <c r="N124" s="8">
        <v>68490</v>
      </c>
      <c r="O124" s="9"/>
      <c r="P124" s="9"/>
      <c r="Q124" s="9"/>
      <c r="R124" s="9"/>
      <c r="S124" s="505">
        <v>0</v>
      </c>
    </row>
    <row r="125" spans="1:19" s="143" customFormat="1" ht="17.25" customHeight="1">
      <c r="A125" s="584"/>
      <c r="B125" s="284"/>
      <c r="C125" s="518"/>
      <c r="D125" s="522"/>
      <c r="E125" s="522"/>
      <c r="F125" s="522"/>
      <c r="G125" s="523"/>
      <c r="H125" s="509"/>
      <c r="I125" s="467"/>
      <c r="J125" s="467"/>
      <c r="K125" s="453"/>
      <c r="L125" s="467"/>
      <c r="M125" s="41" t="s">
        <v>299</v>
      </c>
      <c r="N125" s="10">
        <v>12086</v>
      </c>
      <c r="O125" s="10"/>
      <c r="P125" s="10"/>
      <c r="Q125" s="10"/>
      <c r="R125" s="10"/>
      <c r="S125" s="506"/>
    </row>
    <row r="126" spans="1:19" s="143" customFormat="1" ht="17.25" customHeight="1">
      <c r="A126" s="584"/>
      <c r="B126" s="284"/>
      <c r="C126" s="518"/>
      <c r="D126" s="522"/>
      <c r="E126" s="522"/>
      <c r="F126" s="522"/>
      <c r="G126" s="523"/>
      <c r="H126" s="509"/>
      <c r="I126" s="467"/>
      <c r="J126" s="467"/>
      <c r="K126" s="453"/>
      <c r="L126" s="467"/>
      <c r="M126" s="41" t="s">
        <v>300</v>
      </c>
      <c r="N126" s="11">
        <v>0</v>
      </c>
      <c r="O126" s="10"/>
      <c r="P126" s="10"/>
      <c r="Q126" s="10"/>
      <c r="R126" s="10"/>
      <c r="S126" s="506"/>
    </row>
    <row r="127" spans="1:19" s="143" customFormat="1" ht="17.25" customHeight="1" thickBot="1">
      <c r="A127" s="585"/>
      <c r="B127" s="284"/>
      <c r="C127" s="519"/>
      <c r="D127" s="524"/>
      <c r="E127" s="524"/>
      <c r="F127" s="524"/>
      <c r="G127" s="525"/>
      <c r="H127" s="510"/>
      <c r="I127" s="469"/>
      <c r="J127" s="469"/>
      <c r="K127" s="454"/>
      <c r="L127" s="469"/>
      <c r="M127" s="282" t="s">
        <v>301</v>
      </c>
      <c r="N127" s="20">
        <f>SUM(N124:N126)</f>
        <v>80576</v>
      </c>
      <c r="O127" s="283">
        <f>SUM(O124:O126)</f>
        <v>0</v>
      </c>
      <c r="P127" s="283">
        <f>SUM(P124:P126)</f>
        <v>0</v>
      </c>
      <c r="Q127" s="283">
        <f>SUM(Q124:Q126)</f>
        <v>0</v>
      </c>
      <c r="R127" s="283">
        <f>SUM(R124:R126)</f>
        <v>0</v>
      </c>
      <c r="S127" s="507"/>
    </row>
    <row r="128" spans="1:19" s="37" customFormat="1" ht="20.25" customHeight="1" thickBot="1">
      <c r="A128" s="196"/>
      <c r="B128" s="105"/>
      <c r="C128" s="197" t="s">
        <v>333</v>
      </c>
      <c r="D128" s="196"/>
      <c r="E128" s="196"/>
      <c r="F128" s="196"/>
      <c r="G128" s="196"/>
      <c r="H128" s="196"/>
      <c r="I128" s="196"/>
      <c r="J128" s="196"/>
      <c r="K128" s="207"/>
      <c r="L128" s="196"/>
      <c r="M128" s="196"/>
      <c r="N128" s="196"/>
      <c r="O128" s="196"/>
      <c r="P128" s="196"/>
      <c r="Q128" s="196"/>
      <c r="R128" s="196"/>
      <c r="S128" s="198"/>
    </row>
    <row r="129" spans="1:19" s="143" customFormat="1" ht="15" customHeight="1">
      <c r="A129" s="584">
        <v>80130</v>
      </c>
      <c r="B129" s="284"/>
      <c r="C129" s="517"/>
      <c r="D129" s="520" t="s">
        <v>334</v>
      </c>
      <c r="E129" s="520"/>
      <c r="F129" s="520"/>
      <c r="G129" s="521"/>
      <c r="H129" s="467" t="s">
        <v>321</v>
      </c>
      <c r="I129" s="508" t="s">
        <v>331</v>
      </c>
      <c r="J129" s="467" t="s">
        <v>313</v>
      </c>
      <c r="K129" s="453">
        <v>263620</v>
      </c>
      <c r="L129" s="467" t="s">
        <v>297</v>
      </c>
      <c r="M129" s="142" t="s">
        <v>298</v>
      </c>
      <c r="N129" s="8">
        <v>112988</v>
      </c>
      <c r="O129" s="9">
        <v>53955</v>
      </c>
      <c r="P129" s="9"/>
      <c r="Q129" s="9"/>
      <c r="R129" s="9"/>
      <c r="S129" s="505">
        <v>0</v>
      </c>
    </row>
    <row r="130" spans="1:19" s="143" customFormat="1" ht="15" customHeight="1">
      <c r="A130" s="584"/>
      <c r="B130" s="284"/>
      <c r="C130" s="518"/>
      <c r="D130" s="522"/>
      <c r="E130" s="522"/>
      <c r="F130" s="522"/>
      <c r="G130" s="523"/>
      <c r="H130" s="509"/>
      <c r="I130" s="467"/>
      <c r="J130" s="467"/>
      <c r="K130" s="453"/>
      <c r="L130" s="467"/>
      <c r="M130" s="41" t="s">
        <v>299</v>
      </c>
      <c r="N130" s="10">
        <v>2991</v>
      </c>
      <c r="O130" s="10">
        <v>1428</v>
      </c>
      <c r="P130" s="10"/>
      <c r="Q130" s="10"/>
      <c r="R130" s="10"/>
      <c r="S130" s="506"/>
    </row>
    <row r="131" spans="1:19" s="143" customFormat="1" ht="15" customHeight="1">
      <c r="A131" s="584"/>
      <c r="B131" s="284"/>
      <c r="C131" s="518"/>
      <c r="D131" s="522"/>
      <c r="E131" s="522"/>
      <c r="F131" s="522"/>
      <c r="G131" s="523"/>
      <c r="H131" s="509"/>
      <c r="I131" s="467"/>
      <c r="J131" s="467"/>
      <c r="K131" s="453"/>
      <c r="L131" s="467"/>
      <c r="M131" s="41" t="s">
        <v>300</v>
      </c>
      <c r="N131" s="11">
        <v>16948</v>
      </c>
      <c r="O131" s="10">
        <v>8093</v>
      </c>
      <c r="P131" s="10"/>
      <c r="Q131" s="10"/>
      <c r="R131" s="10"/>
      <c r="S131" s="506"/>
    </row>
    <row r="132" spans="1:19" s="143" customFormat="1" ht="15" customHeight="1" thickBot="1">
      <c r="A132" s="585"/>
      <c r="B132" s="284"/>
      <c r="C132" s="519"/>
      <c r="D132" s="524"/>
      <c r="E132" s="524"/>
      <c r="F132" s="524"/>
      <c r="G132" s="525"/>
      <c r="H132" s="510"/>
      <c r="I132" s="469"/>
      <c r="J132" s="469"/>
      <c r="K132" s="454"/>
      <c r="L132" s="469"/>
      <c r="M132" s="282" t="s">
        <v>301</v>
      </c>
      <c r="N132" s="20">
        <f>SUM(N129:N131)</f>
        <v>132927</v>
      </c>
      <c r="O132" s="283">
        <f>SUM(O129:O131)</f>
        <v>63476</v>
      </c>
      <c r="P132" s="283">
        <f>SUM(P129:P131)</f>
        <v>0</v>
      </c>
      <c r="Q132" s="283">
        <f>SUM(Q129:Q131)</f>
        <v>0</v>
      </c>
      <c r="R132" s="283">
        <f>SUM(R129:R131)</f>
        <v>0</v>
      </c>
      <c r="S132" s="507"/>
    </row>
    <row r="133" spans="1:19" s="37" customFormat="1" ht="20.25" customHeight="1" thickBot="1">
      <c r="A133" s="196"/>
      <c r="B133" s="105"/>
      <c r="C133" s="197" t="s">
        <v>335</v>
      </c>
      <c r="D133" s="196"/>
      <c r="E133" s="196"/>
      <c r="F133" s="196"/>
      <c r="G133" s="196"/>
      <c r="H133" s="196"/>
      <c r="I133" s="196"/>
      <c r="J133" s="196"/>
      <c r="K133" s="207"/>
      <c r="L133" s="196"/>
      <c r="M133" s="196"/>
      <c r="N133" s="196"/>
      <c r="O133" s="196"/>
      <c r="P133" s="196"/>
      <c r="Q133" s="196"/>
      <c r="R133" s="196"/>
      <c r="S133" s="198"/>
    </row>
    <row r="134" spans="1:19" s="143" customFormat="1" ht="15" customHeight="1">
      <c r="A134" s="688">
        <v>80130</v>
      </c>
      <c r="B134" s="284"/>
      <c r="C134" s="517"/>
      <c r="D134" s="520" t="s">
        <v>336</v>
      </c>
      <c r="E134" s="520"/>
      <c r="F134" s="520"/>
      <c r="G134" s="521"/>
      <c r="H134" s="508" t="s">
        <v>330</v>
      </c>
      <c r="I134" s="508" t="s">
        <v>331</v>
      </c>
      <c r="J134" s="508" t="s">
        <v>313</v>
      </c>
      <c r="K134" s="511">
        <v>564076</v>
      </c>
      <c r="L134" s="508" t="s">
        <v>297</v>
      </c>
      <c r="M134" s="142" t="s">
        <v>298</v>
      </c>
      <c r="N134" s="8">
        <f>8925+185210+33341+4995+7626+44588+7254</f>
        <v>291939</v>
      </c>
      <c r="O134" s="9">
        <v>44401</v>
      </c>
      <c r="P134" s="9"/>
      <c r="Q134" s="9"/>
      <c r="R134" s="9"/>
      <c r="S134" s="505">
        <f>313083+14637+2583</f>
        <v>330303</v>
      </c>
    </row>
    <row r="135" spans="1:19" s="143" customFormat="1" ht="15" customHeight="1">
      <c r="A135" s="689"/>
      <c r="B135" s="284"/>
      <c r="C135" s="518"/>
      <c r="D135" s="522"/>
      <c r="E135" s="522"/>
      <c r="F135" s="522"/>
      <c r="G135" s="523"/>
      <c r="H135" s="467"/>
      <c r="I135" s="467"/>
      <c r="J135" s="467"/>
      <c r="K135" s="468"/>
      <c r="L135" s="467"/>
      <c r="M135" s="41" t="s">
        <v>299</v>
      </c>
      <c r="N135" s="10">
        <f>1575+32684+5883+882+1344+7868+1280</f>
        <v>51516</v>
      </c>
      <c r="O135" s="10">
        <v>7835</v>
      </c>
      <c r="P135" s="10"/>
      <c r="Q135" s="10"/>
      <c r="R135" s="10"/>
      <c r="S135" s="506"/>
    </row>
    <row r="136" spans="1:19" s="143" customFormat="1" ht="14.25" customHeight="1" hidden="1">
      <c r="A136" s="689"/>
      <c r="B136" s="284"/>
      <c r="C136" s="518"/>
      <c r="D136" s="522"/>
      <c r="E136" s="522"/>
      <c r="F136" s="522"/>
      <c r="G136" s="523"/>
      <c r="H136" s="467"/>
      <c r="I136" s="467"/>
      <c r="J136" s="467"/>
      <c r="K136" s="468"/>
      <c r="L136" s="467"/>
      <c r="M136" s="41" t="s">
        <v>228</v>
      </c>
      <c r="N136" s="11">
        <v>0</v>
      </c>
      <c r="O136" s="10">
        <v>0</v>
      </c>
      <c r="P136" s="10"/>
      <c r="Q136" s="10"/>
      <c r="R136" s="10"/>
      <c r="S136" s="506"/>
    </row>
    <row r="137" spans="1:19" s="143" customFormat="1" ht="15" customHeight="1">
      <c r="A137" s="689"/>
      <c r="B137" s="284"/>
      <c r="C137" s="518"/>
      <c r="D137" s="522"/>
      <c r="E137" s="522"/>
      <c r="F137" s="522"/>
      <c r="G137" s="523"/>
      <c r="H137" s="467"/>
      <c r="I137" s="467"/>
      <c r="J137" s="467"/>
      <c r="K137" s="468"/>
      <c r="L137" s="467"/>
      <c r="M137" s="110" t="s">
        <v>301</v>
      </c>
      <c r="N137" s="14">
        <f>SUM(N134:N136)</f>
        <v>343455</v>
      </c>
      <c r="O137" s="289">
        <f>SUM(O134:O136)</f>
        <v>52236</v>
      </c>
      <c r="P137" s="289">
        <f>SUM(P134:P136)</f>
        <v>0</v>
      </c>
      <c r="Q137" s="289">
        <f>SUM(Q134:Q136)</f>
        <v>0</v>
      </c>
      <c r="R137" s="289">
        <f>SUM(R134:R136)</f>
        <v>0</v>
      </c>
      <c r="S137" s="506"/>
    </row>
    <row r="138" spans="1:19" s="143" customFormat="1" ht="14.25" customHeight="1">
      <c r="A138" s="689"/>
      <c r="B138" s="284"/>
      <c r="C138" s="518"/>
      <c r="D138" s="522"/>
      <c r="E138" s="522"/>
      <c r="F138" s="522"/>
      <c r="G138" s="523"/>
      <c r="H138" s="467"/>
      <c r="I138" s="467"/>
      <c r="J138" s="467"/>
      <c r="K138" s="468"/>
      <c r="L138" s="471" t="s">
        <v>302</v>
      </c>
      <c r="M138" s="290" t="s">
        <v>298</v>
      </c>
      <c r="N138" s="29">
        <v>5950</v>
      </c>
      <c r="O138" s="48">
        <v>0</v>
      </c>
      <c r="P138" s="48"/>
      <c r="Q138" s="48"/>
      <c r="R138" s="31"/>
      <c r="S138" s="506"/>
    </row>
    <row r="139" spans="1:19" s="143" customFormat="1" ht="15" customHeight="1">
      <c r="A139" s="689"/>
      <c r="B139" s="284"/>
      <c r="C139" s="518"/>
      <c r="D139" s="522"/>
      <c r="E139" s="522"/>
      <c r="F139" s="522"/>
      <c r="G139" s="523"/>
      <c r="H139" s="467"/>
      <c r="I139" s="467"/>
      <c r="J139" s="467"/>
      <c r="K139" s="468"/>
      <c r="L139" s="467"/>
      <c r="M139" s="41" t="s">
        <v>299</v>
      </c>
      <c r="N139" s="29">
        <v>1050</v>
      </c>
      <c r="O139" s="48">
        <v>0</v>
      </c>
      <c r="P139" s="48"/>
      <c r="Q139" s="48"/>
      <c r="R139" s="31"/>
      <c r="S139" s="506"/>
    </row>
    <row r="140" spans="1:19" s="143" customFormat="1" ht="15" customHeight="1" hidden="1">
      <c r="A140" s="689"/>
      <c r="B140" s="284"/>
      <c r="C140" s="518"/>
      <c r="D140" s="522"/>
      <c r="E140" s="522"/>
      <c r="F140" s="522"/>
      <c r="G140" s="523"/>
      <c r="H140" s="467"/>
      <c r="I140" s="467"/>
      <c r="J140" s="467"/>
      <c r="K140" s="468"/>
      <c r="L140" s="467"/>
      <c r="M140" s="41" t="s">
        <v>300</v>
      </c>
      <c r="N140" s="29">
        <v>0</v>
      </c>
      <c r="O140" s="48">
        <v>0</v>
      </c>
      <c r="P140" s="48"/>
      <c r="Q140" s="48"/>
      <c r="R140" s="31"/>
      <c r="S140" s="506"/>
    </row>
    <row r="141" spans="1:19" s="143" customFormat="1" ht="15" customHeight="1">
      <c r="A141" s="689"/>
      <c r="B141" s="284"/>
      <c r="C141" s="518"/>
      <c r="D141" s="522"/>
      <c r="E141" s="522"/>
      <c r="F141" s="522"/>
      <c r="G141" s="523"/>
      <c r="H141" s="467"/>
      <c r="I141" s="467"/>
      <c r="J141" s="467"/>
      <c r="K141" s="468"/>
      <c r="L141" s="466"/>
      <c r="M141" s="13" t="s">
        <v>301</v>
      </c>
      <c r="N141" s="25">
        <f>SUM(N138:N140)</f>
        <v>7000</v>
      </c>
      <c r="O141" s="17">
        <f>SUM(O138:O140)</f>
        <v>0</v>
      </c>
      <c r="P141" s="17">
        <f>SUM(P138:P140)</f>
        <v>0</v>
      </c>
      <c r="Q141" s="17">
        <f>SUM(Q138:Q140)</f>
        <v>0</v>
      </c>
      <c r="R141" s="26">
        <f>SUM(R138:R140)</f>
        <v>0</v>
      </c>
      <c r="S141" s="506"/>
    </row>
    <row r="142" spans="1:19" s="143" customFormat="1" ht="15" customHeight="1">
      <c r="A142" s="689"/>
      <c r="B142" s="284"/>
      <c r="C142" s="518"/>
      <c r="D142" s="522"/>
      <c r="E142" s="522"/>
      <c r="F142" s="522"/>
      <c r="G142" s="523"/>
      <c r="H142" s="467"/>
      <c r="I142" s="467"/>
      <c r="J142" s="467"/>
      <c r="K142" s="468"/>
      <c r="L142" s="460" t="s">
        <v>301</v>
      </c>
      <c r="M142" s="142" t="s">
        <v>298</v>
      </c>
      <c r="N142" s="27">
        <f>N134+N138</f>
        <v>297889</v>
      </c>
      <c r="O142" s="49">
        <f>O134+O138</f>
        <v>44401</v>
      </c>
      <c r="P142" s="49">
        <f>P134+P138</f>
        <v>0</v>
      </c>
      <c r="Q142" s="49">
        <f>Q134+Q138</f>
        <v>0</v>
      </c>
      <c r="R142" s="50">
        <f>R134+R138</f>
        <v>0</v>
      </c>
      <c r="S142" s="506"/>
    </row>
    <row r="143" spans="1:19" s="143" customFormat="1" ht="15" customHeight="1">
      <c r="A143" s="689"/>
      <c r="B143" s="284"/>
      <c r="C143" s="518"/>
      <c r="D143" s="522"/>
      <c r="E143" s="522"/>
      <c r="F143" s="522"/>
      <c r="G143" s="523"/>
      <c r="H143" s="467"/>
      <c r="I143" s="467"/>
      <c r="J143" s="467"/>
      <c r="K143" s="468"/>
      <c r="L143" s="467"/>
      <c r="M143" s="41" t="s">
        <v>299</v>
      </c>
      <c r="N143" s="29">
        <f aca="true" t="shared" si="8" ref="N143:P144">N135+N139</f>
        <v>52566</v>
      </c>
      <c r="O143" s="48">
        <f t="shared" si="8"/>
        <v>7835</v>
      </c>
      <c r="P143" s="48">
        <f t="shared" si="8"/>
        <v>0</v>
      </c>
      <c r="Q143" s="48"/>
      <c r="R143" s="31"/>
      <c r="S143" s="506"/>
    </row>
    <row r="144" spans="1:19" s="143" customFormat="1" ht="15" customHeight="1" hidden="1">
      <c r="A144" s="689"/>
      <c r="B144" s="284"/>
      <c r="C144" s="518"/>
      <c r="D144" s="522"/>
      <c r="E144" s="522"/>
      <c r="F144" s="522"/>
      <c r="G144" s="523"/>
      <c r="H144" s="467"/>
      <c r="I144" s="467"/>
      <c r="J144" s="467"/>
      <c r="K144" s="468"/>
      <c r="L144" s="467"/>
      <c r="M144" s="41" t="s">
        <v>300</v>
      </c>
      <c r="N144" s="29">
        <f t="shared" si="8"/>
        <v>0</v>
      </c>
      <c r="O144" s="48">
        <f t="shared" si="8"/>
        <v>0</v>
      </c>
      <c r="P144" s="48">
        <f t="shared" si="8"/>
        <v>0</v>
      </c>
      <c r="Q144" s="48">
        <f>Q136+Q140</f>
        <v>0</v>
      </c>
      <c r="R144" s="31">
        <f>R136+R140</f>
        <v>0</v>
      </c>
      <c r="S144" s="506"/>
    </row>
    <row r="145" spans="1:19" s="143" customFormat="1" ht="15" customHeight="1" thickBot="1">
      <c r="A145" s="690"/>
      <c r="B145" s="284"/>
      <c r="C145" s="519"/>
      <c r="D145" s="524"/>
      <c r="E145" s="524"/>
      <c r="F145" s="524"/>
      <c r="G145" s="525"/>
      <c r="H145" s="469"/>
      <c r="I145" s="469"/>
      <c r="J145" s="469"/>
      <c r="K145" s="470"/>
      <c r="L145" s="469"/>
      <c r="M145" s="282" t="s">
        <v>301</v>
      </c>
      <c r="N145" s="280">
        <f>SUM(N142:N144)</f>
        <v>350455</v>
      </c>
      <c r="O145" s="21">
        <f>SUM(O142:O144)</f>
        <v>52236</v>
      </c>
      <c r="P145" s="21">
        <f>SUM(P142:P144)</f>
        <v>0</v>
      </c>
      <c r="Q145" s="21">
        <f>SUM(Q142:Q144)</f>
        <v>0</v>
      </c>
      <c r="R145" s="292">
        <f>SUM(R142:R144)</f>
        <v>0</v>
      </c>
      <c r="S145" s="507"/>
    </row>
    <row r="146" spans="1:19" s="37" customFormat="1" ht="20.25" customHeight="1" thickBot="1">
      <c r="A146" s="196"/>
      <c r="B146" s="105"/>
      <c r="C146" s="197" t="s">
        <v>337</v>
      </c>
      <c r="D146" s="196"/>
      <c r="E146" s="196"/>
      <c r="F146" s="196"/>
      <c r="G146" s="196"/>
      <c r="H146" s="196"/>
      <c r="I146" s="196"/>
      <c r="J146" s="196"/>
      <c r="K146" s="207"/>
      <c r="L146" s="196"/>
      <c r="M146" s="196"/>
      <c r="N146" s="196"/>
      <c r="O146" s="196"/>
      <c r="P146" s="196"/>
      <c r="Q146" s="196"/>
      <c r="R146" s="196"/>
      <c r="S146" s="198"/>
    </row>
    <row r="147" spans="1:19" s="143" customFormat="1" ht="15" customHeight="1">
      <c r="A147" s="584">
        <v>80130</v>
      </c>
      <c r="B147" s="284"/>
      <c r="C147" s="517"/>
      <c r="D147" s="520" t="s">
        <v>338</v>
      </c>
      <c r="E147" s="520"/>
      <c r="F147" s="520"/>
      <c r="G147" s="521"/>
      <c r="H147" s="467" t="s">
        <v>321</v>
      </c>
      <c r="I147" s="508" t="s">
        <v>339</v>
      </c>
      <c r="J147" s="467" t="s">
        <v>327</v>
      </c>
      <c r="K147" s="453">
        <v>2429146</v>
      </c>
      <c r="L147" s="467" t="s">
        <v>297</v>
      </c>
      <c r="M147" s="142" t="s">
        <v>298</v>
      </c>
      <c r="N147" s="8">
        <v>1135736</v>
      </c>
      <c r="O147" s="9">
        <v>929028</v>
      </c>
      <c r="P147" s="9"/>
      <c r="Q147" s="9"/>
      <c r="R147" s="9"/>
      <c r="S147" s="505">
        <v>0</v>
      </c>
    </row>
    <row r="148" spans="1:19" s="143" customFormat="1" ht="15" customHeight="1">
      <c r="A148" s="584"/>
      <c r="B148" s="284"/>
      <c r="C148" s="518"/>
      <c r="D148" s="522"/>
      <c r="E148" s="522"/>
      <c r="F148" s="522"/>
      <c r="G148" s="523"/>
      <c r="H148" s="509"/>
      <c r="I148" s="467"/>
      <c r="J148" s="467"/>
      <c r="K148" s="453"/>
      <c r="L148" s="467"/>
      <c r="M148" s="41" t="s">
        <v>299</v>
      </c>
      <c r="N148" s="10">
        <v>29389</v>
      </c>
      <c r="O148" s="10">
        <v>25267</v>
      </c>
      <c r="P148" s="10"/>
      <c r="Q148" s="10"/>
      <c r="R148" s="10"/>
      <c r="S148" s="506"/>
    </row>
    <row r="149" spans="1:19" s="143" customFormat="1" ht="25.5">
      <c r="A149" s="584"/>
      <c r="B149" s="284"/>
      <c r="C149" s="518"/>
      <c r="D149" s="522"/>
      <c r="E149" s="522"/>
      <c r="F149" s="522"/>
      <c r="G149" s="523"/>
      <c r="H149" s="509"/>
      <c r="I149" s="467"/>
      <c r="J149" s="467"/>
      <c r="K149" s="453"/>
      <c r="L149" s="467"/>
      <c r="M149" s="41" t="s">
        <v>323</v>
      </c>
      <c r="N149" s="11">
        <v>141032</v>
      </c>
      <c r="O149" s="10">
        <v>168694</v>
      </c>
      <c r="P149" s="10"/>
      <c r="Q149" s="10"/>
      <c r="R149" s="10"/>
      <c r="S149" s="506"/>
    </row>
    <row r="150" spans="1:19" s="143" customFormat="1" ht="15" customHeight="1" thickBot="1">
      <c r="A150" s="585"/>
      <c r="B150" s="284"/>
      <c r="C150" s="519"/>
      <c r="D150" s="524"/>
      <c r="E150" s="524"/>
      <c r="F150" s="524"/>
      <c r="G150" s="525"/>
      <c r="H150" s="510"/>
      <c r="I150" s="469"/>
      <c r="J150" s="469"/>
      <c r="K150" s="454"/>
      <c r="L150" s="469"/>
      <c r="M150" s="282" t="s">
        <v>301</v>
      </c>
      <c r="N150" s="20">
        <f>SUM(N147:N149)</f>
        <v>1306157</v>
      </c>
      <c r="O150" s="283">
        <f>SUM(O147:O149)</f>
        <v>1122989</v>
      </c>
      <c r="P150" s="283">
        <f>SUM(P147:P149)</f>
        <v>0</v>
      </c>
      <c r="Q150" s="283">
        <f>SUM(Q147:Q149)</f>
        <v>0</v>
      </c>
      <c r="R150" s="283">
        <f>SUM(R147:R149)</f>
        <v>0</v>
      </c>
      <c r="S150" s="507"/>
    </row>
    <row r="151" spans="1:19" s="37" customFormat="1" ht="20.25" customHeight="1" thickBot="1">
      <c r="A151" s="196"/>
      <c r="B151" s="105"/>
      <c r="C151" s="197" t="s">
        <v>340</v>
      </c>
      <c r="D151" s="196"/>
      <c r="E151" s="196"/>
      <c r="F151" s="196"/>
      <c r="G151" s="196"/>
      <c r="H151" s="196"/>
      <c r="I151" s="196"/>
      <c r="J151" s="196"/>
      <c r="K151" s="207"/>
      <c r="L151" s="196"/>
      <c r="M151" s="196"/>
      <c r="N151" s="196"/>
      <c r="O151" s="196"/>
      <c r="P151" s="196"/>
      <c r="Q151" s="196"/>
      <c r="R151" s="196"/>
      <c r="S151" s="198"/>
    </row>
    <row r="152" spans="1:19" s="143" customFormat="1" ht="15" customHeight="1">
      <c r="A152" s="688">
        <v>80130</v>
      </c>
      <c r="B152" s="284"/>
      <c r="C152" s="517"/>
      <c r="D152" s="520" t="s">
        <v>341</v>
      </c>
      <c r="E152" s="520"/>
      <c r="F152" s="520"/>
      <c r="G152" s="521"/>
      <c r="H152" s="508" t="s">
        <v>321</v>
      </c>
      <c r="I152" s="452" t="s">
        <v>342</v>
      </c>
      <c r="J152" s="508" t="s">
        <v>327</v>
      </c>
      <c r="K152" s="590">
        <v>1278085</v>
      </c>
      <c r="L152" s="508" t="s">
        <v>297</v>
      </c>
      <c r="M152" s="142" t="s">
        <v>298</v>
      </c>
      <c r="N152" s="8">
        <f>590159-49000</f>
        <v>541159</v>
      </c>
      <c r="O152" s="9">
        <v>496213</v>
      </c>
      <c r="P152" s="9"/>
      <c r="Q152" s="9"/>
      <c r="R152" s="9"/>
      <c r="S152" s="505">
        <v>0</v>
      </c>
    </row>
    <row r="153" spans="1:19" s="143" customFormat="1" ht="15" customHeight="1">
      <c r="A153" s="689"/>
      <c r="B153" s="284"/>
      <c r="C153" s="518"/>
      <c r="D153" s="522"/>
      <c r="E153" s="522"/>
      <c r="F153" s="522"/>
      <c r="G153" s="523"/>
      <c r="H153" s="467"/>
      <c r="I153" s="529"/>
      <c r="J153" s="467"/>
      <c r="K153" s="591"/>
      <c r="L153" s="467"/>
      <c r="M153" s="41" t="s">
        <v>299</v>
      </c>
      <c r="N153" s="10">
        <v>18621</v>
      </c>
      <c r="O153" s="10">
        <v>2207</v>
      </c>
      <c r="P153" s="10"/>
      <c r="Q153" s="10"/>
      <c r="R153" s="10"/>
      <c r="S153" s="506"/>
    </row>
    <row r="154" spans="1:19" s="143" customFormat="1" ht="25.5">
      <c r="A154" s="689"/>
      <c r="B154" s="284"/>
      <c r="C154" s="518"/>
      <c r="D154" s="522"/>
      <c r="E154" s="522"/>
      <c r="F154" s="522"/>
      <c r="G154" s="523"/>
      <c r="H154" s="467"/>
      <c r="I154" s="529"/>
      <c r="J154" s="467"/>
      <c r="K154" s="591"/>
      <c r="L154" s="467"/>
      <c r="M154" s="41" t="s">
        <v>323</v>
      </c>
      <c r="N154" s="11">
        <v>85525</v>
      </c>
      <c r="O154" s="10">
        <v>85360</v>
      </c>
      <c r="P154" s="10"/>
      <c r="Q154" s="10"/>
      <c r="R154" s="10"/>
      <c r="S154" s="506"/>
    </row>
    <row r="155" spans="1:19" s="143" customFormat="1" ht="15" customHeight="1">
      <c r="A155" s="689"/>
      <c r="B155" s="284"/>
      <c r="C155" s="518"/>
      <c r="D155" s="522"/>
      <c r="E155" s="522"/>
      <c r="F155" s="522"/>
      <c r="G155" s="523"/>
      <c r="H155" s="467"/>
      <c r="I155" s="529"/>
      <c r="J155" s="467"/>
      <c r="K155" s="591"/>
      <c r="L155" s="467"/>
      <c r="M155" s="110" t="s">
        <v>301</v>
      </c>
      <c r="N155" s="14">
        <f>SUM(N152:N154)</f>
        <v>645305</v>
      </c>
      <c r="O155" s="289">
        <f>SUM(O152:O154)</f>
        <v>583780</v>
      </c>
      <c r="P155" s="289">
        <f>SUM(P152:P154)</f>
        <v>0</v>
      </c>
      <c r="Q155" s="289">
        <f>SUM(Q152:Q154)</f>
        <v>0</v>
      </c>
      <c r="R155" s="289">
        <f>SUM(R152:R154)</f>
        <v>0</v>
      </c>
      <c r="S155" s="506"/>
    </row>
    <row r="156" spans="1:19" s="143" customFormat="1" ht="14.25" customHeight="1">
      <c r="A156" s="689"/>
      <c r="B156" s="284"/>
      <c r="C156" s="518"/>
      <c r="D156" s="522"/>
      <c r="E156" s="522"/>
      <c r="F156" s="522"/>
      <c r="G156" s="523"/>
      <c r="H156" s="467"/>
      <c r="I156" s="529"/>
      <c r="J156" s="467"/>
      <c r="K156" s="591"/>
      <c r="L156" s="471" t="s">
        <v>302</v>
      </c>
      <c r="M156" s="290" t="s">
        <v>298</v>
      </c>
      <c r="N156" s="29">
        <v>49000</v>
      </c>
      <c r="O156" s="48"/>
      <c r="P156" s="48"/>
      <c r="Q156" s="48"/>
      <c r="R156" s="31"/>
      <c r="S156" s="506"/>
    </row>
    <row r="157" spans="1:19" s="143" customFormat="1" ht="15" customHeight="1" hidden="1" thickBot="1">
      <c r="A157" s="689"/>
      <c r="B157" s="284"/>
      <c r="C157" s="518"/>
      <c r="D157" s="522"/>
      <c r="E157" s="522"/>
      <c r="F157" s="522"/>
      <c r="G157" s="523"/>
      <c r="H157" s="467"/>
      <c r="I157" s="529"/>
      <c r="J157" s="467"/>
      <c r="K157" s="591"/>
      <c r="L157" s="467"/>
      <c r="M157" s="41" t="s">
        <v>299</v>
      </c>
      <c r="N157" s="29"/>
      <c r="O157" s="48"/>
      <c r="P157" s="48"/>
      <c r="Q157" s="48"/>
      <c r="R157" s="31"/>
      <c r="S157" s="506"/>
    </row>
    <row r="158" spans="1:19" s="143" customFormat="1" ht="15" customHeight="1" hidden="1" thickBot="1">
      <c r="A158" s="689"/>
      <c r="B158" s="284"/>
      <c r="C158" s="518"/>
      <c r="D158" s="522"/>
      <c r="E158" s="522"/>
      <c r="F158" s="522"/>
      <c r="G158" s="523"/>
      <c r="H158" s="467"/>
      <c r="I158" s="529"/>
      <c r="J158" s="467"/>
      <c r="K158" s="591"/>
      <c r="L158" s="467"/>
      <c r="M158" s="41" t="s">
        <v>300</v>
      </c>
      <c r="N158" s="29"/>
      <c r="O158" s="48"/>
      <c r="P158" s="48"/>
      <c r="Q158" s="48"/>
      <c r="R158" s="31"/>
      <c r="S158" s="506"/>
    </row>
    <row r="159" spans="1:19" s="143" customFormat="1" ht="15" customHeight="1">
      <c r="A159" s="689"/>
      <c r="B159" s="284"/>
      <c r="C159" s="518"/>
      <c r="D159" s="522"/>
      <c r="E159" s="522"/>
      <c r="F159" s="522"/>
      <c r="G159" s="523"/>
      <c r="H159" s="467"/>
      <c r="I159" s="529"/>
      <c r="J159" s="467"/>
      <c r="K159" s="591"/>
      <c r="L159" s="466"/>
      <c r="M159" s="13" t="s">
        <v>301</v>
      </c>
      <c r="N159" s="25">
        <f>SUM(N156:N158)</f>
        <v>49000</v>
      </c>
      <c r="O159" s="17">
        <f>SUM(O156:O158)</f>
        <v>0</v>
      </c>
      <c r="P159" s="17">
        <f>SUM(P156:P158)</f>
        <v>0</v>
      </c>
      <c r="Q159" s="17">
        <f>SUM(Q156:Q158)</f>
        <v>0</v>
      </c>
      <c r="R159" s="26">
        <f>SUM(R156:R158)</f>
        <v>0</v>
      </c>
      <c r="S159" s="506"/>
    </row>
    <row r="160" spans="1:19" s="143" customFormat="1" ht="15" customHeight="1">
      <c r="A160" s="689"/>
      <c r="B160" s="284"/>
      <c r="C160" s="518"/>
      <c r="D160" s="522"/>
      <c r="E160" s="522"/>
      <c r="F160" s="522"/>
      <c r="G160" s="523"/>
      <c r="H160" s="467"/>
      <c r="I160" s="529"/>
      <c r="J160" s="467"/>
      <c r="K160" s="591"/>
      <c r="L160" s="460" t="s">
        <v>301</v>
      </c>
      <c r="M160" s="142" t="s">
        <v>298</v>
      </c>
      <c r="N160" s="27">
        <f>N152+N156</f>
        <v>590159</v>
      </c>
      <c r="O160" s="49">
        <f>O152+O156</f>
        <v>496213</v>
      </c>
      <c r="P160" s="49">
        <f>P152+P156</f>
        <v>0</v>
      </c>
      <c r="Q160" s="49">
        <f>Q152+Q156</f>
        <v>0</v>
      </c>
      <c r="R160" s="50">
        <f>R152+R156</f>
        <v>0</v>
      </c>
      <c r="S160" s="506"/>
    </row>
    <row r="161" spans="1:19" s="143" customFormat="1" ht="15" customHeight="1">
      <c r="A161" s="689"/>
      <c r="B161" s="284"/>
      <c r="C161" s="518"/>
      <c r="D161" s="522"/>
      <c r="E161" s="522"/>
      <c r="F161" s="522"/>
      <c r="G161" s="523"/>
      <c r="H161" s="467"/>
      <c r="I161" s="529"/>
      <c r="J161" s="467"/>
      <c r="K161" s="591"/>
      <c r="L161" s="467"/>
      <c r="M161" s="41" t="s">
        <v>299</v>
      </c>
      <c r="N161" s="29">
        <f aca="true" t="shared" si="9" ref="N161:P162">N153+N157</f>
        <v>18621</v>
      </c>
      <c r="O161" s="48">
        <f t="shared" si="9"/>
        <v>2207</v>
      </c>
      <c r="P161" s="48">
        <f t="shared" si="9"/>
        <v>0</v>
      </c>
      <c r="Q161" s="48"/>
      <c r="R161" s="31"/>
      <c r="S161" s="506"/>
    </row>
    <row r="162" spans="1:19" s="143" customFormat="1" ht="15" customHeight="1">
      <c r="A162" s="689"/>
      <c r="B162" s="284"/>
      <c r="C162" s="518"/>
      <c r="D162" s="522"/>
      <c r="E162" s="522"/>
      <c r="F162" s="522"/>
      <c r="G162" s="523"/>
      <c r="H162" s="467"/>
      <c r="I162" s="529"/>
      <c r="J162" s="467"/>
      <c r="K162" s="591"/>
      <c r="L162" s="467"/>
      <c r="M162" s="41" t="s">
        <v>300</v>
      </c>
      <c r="N162" s="29">
        <f t="shared" si="9"/>
        <v>85525</v>
      </c>
      <c r="O162" s="48">
        <f t="shared" si="9"/>
        <v>85360</v>
      </c>
      <c r="P162" s="48">
        <f t="shared" si="9"/>
        <v>0</v>
      </c>
      <c r="Q162" s="48">
        <f>Q154+Q158</f>
        <v>0</v>
      </c>
      <c r="R162" s="31">
        <f>R154+R158</f>
        <v>0</v>
      </c>
      <c r="S162" s="506"/>
    </row>
    <row r="163" spans="1:19" s="143" customFormat="1" ht="15" customHeight="1" thickBot="1">
      <c r="A163" s="690"/>
      <c r="B163" s="284"/>
      <c r="C163" s="519"/>
      <c r="D163" s="524"/>
      <c r="E163" s="524"/>
      <c r="F163" s="524"/>
      <c r="G163" s="525"/>
      <c r="H163" s="469"/>
      <c r="I163" s="530"/>
      <c r="J163" s="469"/>
      <c r="K163" s="592"/>
      <c r="L163" s="469"/>
      <c r="M163" s="282" t="s">
        <v>301</v>
      </c>
      <c r="N163" s="280">
        <f>SUM(N160:N162)</f>
        <v>694305</v>
      </c>
      <c r="O163" s="21">
        <f>SUM(O160:O162)</f>
        <v>583780</v>
      </c>
      <c r="P163" s="21">
        <f>SUM(P160:P162)</f>
        <v>0</v>
      </c>
      <c r="Q163" s="21">
        <f>SUM(Q160:Q162)</f>
        <v>0</v>
      </c>
      <c r="R163" s="292">
        <f>SUM(R160:R162)</f>
        <v>0</v>
      </c>
      <c r="S163" s="507"/>
    </row>
    <row r="164" spans="1:19" s="37" customFormat="1" ht="20.25" customHeight="1" thickBot="1">
      <c r="A164" s="196"/>
      <c r="B164" s="105"/>
      <c r="C164" s="197" t="s">
        <v>343</v>
      </c>
      <c r="D164" s="196"/>
      <c r="E164" s="196"/>
      <c r="F164" s="196"/>
      <c r="G164" s="196"/>
      <c r="H164" s="196"/>
      <c r="I164" s="196"/>
      <c r="J164" s="196"/>
      <c r="K164" s="207"/>
      <c r="L164" s="196"/>
      <c r="M164" s="196"/>
      <c r="N164" s="196"/>
      <c r="O164" s="196"/>
      <c r="P164" s="196"/>
      <c r="Q164" s="196"/>
      <c r="R164" s="196"/>
      <c r="S164" s="198"/>
    </row>
    <row r="165" spans="1:19" s="143" customFormat="1" ht="24.75" customHeight="1">
      <c r="A165" s="462">
        <v>80130</v>
      </c>
      <c r="B165" s="284"/>
      <c r="C165" s="517"/>
      <c r="D165" s="520" t="s">
        <v>429</v>
      </c>
      <c r="E165" s="520"/>
      <c r="F165" s="520"/>
      <c r="G165" s="521"/>
      <c r="H165" s="508" t="s">
        <v>321</v>
      </c>
      <c r="I165" s="508" t="s">
        <v>342</v>
      </c>
      <c r="J165" s="452" t="s">
        <v>313</v>
      </c>
      <c r="K165" s="511">
        <v>1237500</v>
      </c>
      <c r="L165" s="467" t="s">
        <v>297</v>
      </c>
      <c r="M165" s="142" t="s">
        <v>298</v>
      </c>
      <c r="N165" s="8">
        <f>557977-N169</f>
        <v>518777</v>
      </c>
      <c r="O165" s="9">
        <v>426667</v>
      </c>
      <c r="P165" s="9"/>
      <c r="Q165" s="9"/>
      <c r="R165" s="9"/>
      <c r="S165" s="505">
        <v>0</v>
      </c>
    </row>
    <row r="166" spans="1:19" s="143" customFormat="1" ht="24.75" customHeight="1">
      <c r="A166" s="463"/>
      <c r="B166" s="284"/>
      <c r="C166" s="518"/>
      <c r="D166" s="522"/>
      <c r="E166" s="522"/>
      <c r="F166" s="522"/>
      <c r="G166" s="523"/>
      <c r="H166" s="467"/>
      <c r="I166" s="467"/>
      <c r="J166" s="529"/>
      <c r="K166" s="468"/>
      <c r="L166" s="467"/>
      <c r="M166" s="41" t="s">
        <v>299</v>
      </c>
      <c r="N166" s="10">
        <v>6498</v>
      </c>
      <c r="O166" s="10">
        <v>5138</v>
      </c>
      <c r="P166" s="10"/>
      <c r="Q166" s="10"/>
      <c r="R166" s="10"/>
      <c r="S166" s="506"/>
    </row>
    <row r="167" spans="1:19" s="143" customFormat="1" ht="30.75" customHeight="1">
      <c r="A167" s="463"/>
      <c r="B167" s="284"/>
      <c r="C167" s="518"/>
      <c r="D167" s="522"/>
      <c r="E167" s="522"/>
      <c r="F167" s="522"/>
      <c r="G167" s="523"/>
      <c r="H167" s="467"/>
      <c r="I167" s="467"/>
      <c r="J167" s="529"/>
      <c r="K167" s="468"/>
      <c r="L167" s="467"/>
      <c r="M167" s="41" t="s">
        <v>323</v>
      </c>
      <c r="N167" s="11">
        <v>85360</v>
      </c>
      <c r="O167" s="10">
        <v>81950</v>
      </c>
      <c r="P167" s="10"/>
      <c r="Q167" s="10"/>
      <c r="R167" s="10"/>
      <c r="S167" s="506"/>
    </row>
    <row r="168" spans="1:19" s="143" customFormat="1" ht="14.25">
      <c r="A168" s="463"/>
      <c r="B168" s="284"/>
      <c r="C168" s="518"/>
      <c r="D168" s="522"/>
      <c r="E168" s="522"/>
      <c r="F168" s="522"/>
      <c r="G168" s="523"/>
      <c r="H168" s="467"/>
      <c r="I168" s="467"/>
      <c r="J168" s="529"/>
      <c r="K168" s="468"/>
      <c r="L168" s="467"/>
      <c r="M168" s="110" t="s">
        <v>301</v>
      </c>
      <c r="N168" s="14">
        <f>SUM(N165:N167)</f>
        <v>610635</v>
      </c>
      <c r="O168" s="289">
        <f>SUM(O165:O167)</f>
        <v>513755</v>
      </c>
      <c r="P168" s="289">
        <f>SUM(P165:P167)</f>
        <v>0</v>
      </c>
      <c r="Q168" s="289">
        <f>SUM(Q165:Q167)</f>
        <v>0</v>
      </c>
      <c r="R168" s="289">
        <f>SUM(R165:R167)</f>
        <v>0</v>
      </c>
      <c r="S168" s="506"/>
    </row>
    <row r="169" spans="1:19" s="143" customFormat="1" ht="14.25" customHeight="1">
      <c r="A169" s="463"/>
      <c r="B169" s="284"/>
      <c r="C169" s="518"/>
      <c r="D169" s="522"/>
      <c r="E169" s="522"/>
      <c r="F169" s="522"/>
      <c r="G169" s="523"/>
      <c r="H169" s="467"/>
      <c r="I169" s="467"/>
      <c r="J169" s="529"/>
      <c r="K169" s="468"/>
      <c r="L169" s="471" t="s">
        <v>302</v>
      </c>
      <c r="M169" s="290" t="s">
        <v>298</v>
      </c>
      <c r="N169" s="29">
        <v>39200</v>
      </c>
      <c r="O169" s="48"/>
      <c r="P169" s="48"/>
      <c r="Q169" s="48"/>
      <c r="R169" s="31"/>
      <c r="S169" s="506"/>
    </row>
    <row r="170" spans="1:19" s="143" customFormat="1" ht="15" customHeight="1" hidden="1">
      <c r="A170" s="463"/>
      <c r="B170" s="284"/>
      <c r="C170" s="518"/>
      <c r="D170" s="522"/>
      <c r="E170" s="522"/>
      <c r="F170" s="522"/>
      <c r="G170" s="523"/>
      <c r="H170" s="467"/>
      <c r="I170" s="467"/>
      <c r="J170" s="529"/>
      <c r="K170" s="468"/>
      <c r="L170" s="467"/>
      <c r="M170" s="41" t="s">
        <v>299</v>
      </c>
      <c r="N170" s="29"/>
      <c r="O170" s="48"/>
      <c r="P170" s="48"/>
      <c r="Q170" s="48"/>
      <c r="R170" s="31"/>
      <c r="S170" s="506"/>
    </row>
    <row r="171" spans="1:19" s="143" customFormat="1" ht="15" customHeight="1" hidden="1">
      <c r="A171" s="463"/>
      <c r="B171" s="284"/>
      <c r="C171" s="518"/>
      <c r="D171" s="522"/>
      <c r="E171" s="522"/>
      <c r="F171" s="522"/>
      <c r="G171" s="523"/>
      <c r="H171" s="467"/>
      <c r="I171" s="467"/>
      <c r="J171" s="529"/>
      <c r="K171" s="468"/>
      <c r="L171" s="467"/>
      <c r="M171" s="41" t="s">
        <v>300</v>
      </c>
      <c r="N171" s="29"/>
      <c r="O171" s="48"/>
      <c r="P171" s="48"/>
      <c r="Q171" s="48"/>
      <c r="R171" s="31"/>
      <c r="S171" s="506"/>
    </row>
    <row r="172" spans="1:19" s="143" customFormat="1" ht="15" customHeight="1">
      <c r="A172" s="463"/>
      <c r="B172" s="284"/>
      <c r="C172" s="518"/>
      <c r="D172" s="522"/>
      <c r="E172" s="522"/>
      <c r="F172" s="522"/>
      <c r="G172" s="523"/>
      <c r="H172" s="467"/>
      <c r="I172" s="467"/>
      <c r="J172" s="529"/>
      <c r="K172" s="468"/>
      <c r="L172" s="466"/>
      <c r="M172" s="13" t="s">
        <v>301</v>
      </c>
      <c r="N172" s="25">
        <f>SUM(N169:N171)</f>
        <v>39200</v>
      </c>
      <c r="O172" s="17">
        <f>SUM(O169:O171)</f>
        <v>0</v>
      </c>
      <c r="P172" s="17">
        <f>SUM(P169:P171)</f>
        <v>0</v>
      </c>
      <c r="Q172" s="17">
        <f>SUM(Q169:Q171)</f>
        <v>0</v>
      </c>
      <c r="R172" s="26">
        <f>SUM(R169:R171)</f>
        <v>0</v>
      </c>
      <c r="S172" s="506"/>
    </row>
    <row r="173" spans="1:19" s="143" customFormat="1" ht="15" customHeight="1">
      <c r="A173" s="463"/>
      <c r="B173" s="284"/>
      <c r="C173" s="518"/>
      <c r="D173" s="522"/>
      <c r="E173" s="522"/>
      <c r="F173" s="522"/>
      <c r="G173" s="523"/>
      <c r="H173" s="467"/>
      <c r="I173" s="467"/>
      <c r="J173" s="529"/>
      <c r="K173" s="468"/>
      <c r="L173" s="460" t="s">
        <v>301</v>
      </c>
      <c r="M173" s="142" t="s">
        <v>298</v>
      </c>
      <c r="N173" s="27">
        <f>N165+N169</f>
        <v>557977</v>
      </c>
      <c r="O173" s="49">
        <f>O165+O169</f>
        <v>426667</v>
      </c>
      <c r="P173" s="49">
        <f>P165+P169</f>
        <v>0</v>
      </c>
      <c r="Q173" s="49">
        <f>Q165+Q169</f>
        <v>0</v>
      </c>
      <c r="R173" s="50">
        <f>R165+R169</f>
        <v>0</v>
      </c>
      <c r="S173" s="506"/>
    </row>
    <row r="174" spans="1:19" s="143" customFormat="1" ht="15" customHeight="1">
      <c r="A174" s="463"/>
      <c r="B174" s="284"/>
      <c r="C174" s="518"/>
      <c r="D174" s="522"/>
      <c r="E174" s="522"/>
      <c r="F174" s="522"/>
      <c r="G174" s="523"/>
      <c r="H174" s="467"/>
      <c r="I174" s="467"/>
      <c r="J174" s="529"/>
      <c r="K174" s="468"/>
      <c r="L174" s="467"/>
      <c r="M174" s="41" t="s">
        <v>299</v>
      </c>
      <c r="N174" s="29">
        <f aca="true" t="shared" si="10" ref="N174:P175">N166+N170</f>
        <v>6498</v>
      </c>
      <c r="O174" s="48">
        <f t="shared" si="10"/>
        <v>5138</v>
      </c>
      <c r="P174" s="48">
        <f t="shared" si="10"/>
        <v>0</v>
      </c>
      <c r="Q174" s="48"/>
      <c r="R174" s="31"/>
      <c r="S174" s="506"/>
    </row>
    <row r="175" spans="1:19" s="143" customFormat="1" ht="15" customHeight="1">
      <c r="A175" s="463"/>
      <c r="B175" s="284"/>
      <c r="C175" s="518"/>
      <c r="D175" s="522"/>
      <c r="E175" s="522"/>
      <c r="F175" s="522"/>
      <c r="G175" s="523"/>
      <c r="H175" s="467"/>
      <c r="I175" s="467"/>
      <c r="J175" s="529"/>
      <c r="K175" s="468"/>
      <c r="L175" s="467"/>
      <c r="M175" s="41" t="s">
        <v>300</v>
      </c>
      <c r="N175" s="29">
        <f t="shared" si="10"/>
        <v>85360</v>
      </c>
      <c r="O175" s="48">
        <f t="shared" si="10"/>
        <v>81950</v>
      </c>
      <c r="P175" s="48">
        <f t="shared" si="10"/>
        <v>0</v>
      </c>
      <c r="Q175" s="48">
        <f>Q167+Q171</f>
        <v>0</v>
      </c>
      <c r="R175" s="31">
        <f>R167+R171</f>
        <v>0</v>
      </c>
      <c r="S175" s="506"/>
    </row>
    <row r="176" spans="1:19" s="143" customFormat="1" ht="15" customHeight="1" thickBot="1">
      <c r="A176" s="464"/>
      <c r="B176" s="284"/>
      <c r="C176" s="519"/>
      <c r="D176" s="524"/>
      <c r="E176" s="524"/>
      <c r="F176" s="524"/>
      <c r="G176" s="525"/>
      <c r="H176" s="469"/>
      <c r="I176" s="469"/>
      <c r="J176" s="530"/>
      <c r="K176" s="470"/>
      <c r="L176" s="469"/>
      <c r="M176" s="13" t="s">
        <v>301</v>
      </c>
      <c r="N176" s="280">
        <f>SUM(N173:N175)</f>
        <v>649835</v>
      </c>
      <c r="O176" s="21">
        <f>SUM(O173:O175)</f>
        <v>513755</v>
      </c>
      <c r="P176" s="21">
        <f>SUM(P173:P175)</f>
        <v>0</v>
      </c>
      <c r="Q176" s="21">
        <f>SUM(Q173:Q175)</f>
        <v>0</v>
      </c>
      <c r="R176" s="292">
        <f>SUM(R173:R175)</f>
        <v>0</v>
      </c>
      <c r="S176" s="507"/>
    </row>
    <row r="177" spans="1:19" s="37" customFormat="1" ht="20.25" customHeight="1" thickBot="1">
      <c r="A177" s="196"/>
      <c r="B177" s="105"/>
      <c r="C177" s="197" t="s">
        <v>344</v>
      </c>
      <c r="D177" s="196"/>
      <c r="E177" s="196"/>
      <c r="F177" s="196"/>
      <c r="G177" s="196"/>
      <c r="H177" s="196"/>
      <c r="I177" s="196"/>
      <c r="J177" s="196"/>
      <c r="K177" s="207"/>
      <c r="L177" s="196"/>
      <c r="M177" s="196"/>
      <c r="N177" s="196"/>
      <c r="O177" s="196"/>
      <c r="P177" s="196"/>
      <c r="Q177" s="196"/>
      <c r="R177" s="196"/>
      <c r="S177" s="198"/>
    </row>
    <row r="178" spans="1:19" s="143" customFormat="1" ht="15" customHeight="1">
      <c r="A178" s="584">
        <v>80140</v>
      </c>
      <c r="B178" s="284"/>
      <c r="C178" s="517"/>
      <c r="D178" s="520" t="s">
        <v>345</v>
      </c>
      <c r="E178" s="520"/>
      <c r="F178" s="520"/>
      <c r="G178" s="521"/>
      <c r="H178" s="467" t="s">
        <v>330</v>
      </c>
      <c r="I178" s="508" t="s">
        <v>346</v>
      </c>
      <c r="J178" s="467" t="s">
        <v>332</v>
      </c>
      <c r="K178" s="453">
        <v>1678290</v>
      </c>
      <c r="L178" s="467" t="s">
        <v>297</v>
      </c>
      <c r="M178" s="142" t="s">
        <v>298</v>
      </c>
      <c r="N178" s="8">
        <f>8479+607937</f>
        <v>616416</v>
      </c>
      <c r="O178" s="9"/>
      <c r="P178" s="9"/>
      <c r="Q178" s="9"/>
      <c r="R178" s="9"/>
      <c r="S178" s="505">
        <v>0</v>
      </c>
    </row>
    <row r="179" spans="1:19" s="143" customFormat="1" ht="15" customHeight="1">
      <c r="A179" s="584"/>
      <c r="B179" s="284"/>
      <c r="C179" s="518"/>
      <c r="D179" s="522"/>
      <c r="E179" s="522"/>
      <c r="F179" s="522"/>
      <c r="G179" s="523"/>
      <c r="H179" s="509"/>
      <c r="I179" s="467"/>
      <c r="J179" s="467"/>
      <c r="K179" s="453"/>
      <c r="L179" s="467"/>
      <c r="M179" s="41" t="s">
        <v>299</v>
      </c>
      <c r="N179" s="10">
        <f>1496+107283</f>
        <v>108779</v>
      </c>
      <c r="O179" s="10"/>
      <c r="P179" s="10"/>
      <c r="Q179" s="10"/>
      <c r="R179" s="10"/>
      <c r="S179" s="506"/>
    </row>
    <row r="180" spans="1:19" s="143" customFormat="1" ht="17.25" customHeight="1">
      <c r="A180" s="584"/>
      <c r="B180" s="284"/>
      <c r="C180" s="518"/>
      <c r="D180" s="522"/>
      <c r="E180" s="522"/>
      <c r="F180" s="522"/>
      <c r="G180" s="523"/>
      <c r="H180" s="509"/>
      <c r="I180" s="467"/>
      <c r="J180" s="467"/>
      <c r="K180" s="453"/>
      <c r="L180" s="467"/>
      <c r="M180" s="41" t="s">
        <v>300</v>
      </c>
      <c r="N180" s="11"/>
      <c r="O180" s="10"/>
      <c r="P180" s="10"/>
      <c r="Q180" s="10"/>
      <c r="R180" s="10"/>
      <c r="S180" s="506"/>
    </row>
    <row r="181" spans="1:19" s="143" customFormat="1" ht="18" customHeight="1" thickBot="1">
      <c r="A181" s="585"/>
      <c r="B181" s="284"/>
      <c r="C181" s="519"/>
      <c r="D181" s="524"/>
      <c r="E181" s="524"/>
      <c r="F181" s="524"/>
      <c r="G181" s="525"/>
      <c r="H181" s="510"/>
      <c r="I181" s="469"/>
      <c r="J181" s="469"/>
      <c r="K181" s="454"/>
      <c r="L181" s="469"/>
      <c r="M181" s="282" t="s">
        <v>301</v>
      </c>
      <c r="N181" s="20">
        <f>SUM(N178:N180)</f>
        <v>725195</v>
      </c>
      <c r="O181" s="283">
        <f>SUM(O178:O180)</f>
        <v>0</v>
      </c>
      <c r="P181" s="283">
        <f>SUM(P178:P180)</f>
        <v>0</v>
      </c>
      <c r="Q181" s="283">
        <f>SUM(Q178:Q180)</f>
        <v>0</v>
      </c>
      <c r="R181" s="283">
        <f>SUM(R178:R180)</f>
        <v>0</v>
      </c>
      <c r="S181" s="507"/>
    </row>
    <row r="182" spans="1:19" s="37" customFormat="1" ht="20.25" customHeight="1" thickBot="1">
      <c r="A182" s="196"/>
      <c r="B182" s="105"/>
      <c r="C182" s="197" t="s">
        <v>133</v>
      </c>
      <c r="D182" s="196"/>
      <c r="E182" s="196"/>
      <c r="F182" s="196"/>
      <c r="G182" s="196"/>
      <c r="H182" s="196"/>
      <c r="I182" s="196"/>
      <c r="J182" s="196"/>
      <c r="K182" s="207"/>
      <c r="L182" s="196"/>
      <c r="M182" s="196"/>
      <c r="N182" s="196"/>
      <c r="O182" s="196"/>
      <c r="P182" s="196"/>
      <c r="Q182" s="196"/>
      <c r="R182" s="196"/>
      <c r="S182" s="198"/>
    </row>
    <row r="183" spans="1:19" s="143" customFormat="1" ht="17.25" customHeight="1">
      <c r="A183" s="584">
        <v>80140</v>
      </c>
      <c r="B183" s="284"/>
      <c r="C183" s="517"/>
      <c r="D183" s="520" t="s">
        <v>134</v>
      </c>
      <c r="E183" s="520"/>
      <c r="F183" s="520"/>
      <c r="G183" s="521"/>
      <c r="H183" s="467" t="s">
        <v>321</v>
      </c>
      <c r="I183" s="508" t="s">
        <v>346</v>
      </c>
      <c r="J183" s="456" t="s">
        <v>347</v>
      </c>
      <c r="K183" s="453">
        <v>636080</v>
      </c>
      <c r="L183" s="467" t="s">
        <v>297</v>
      </c>
      <c r="M183" s="142" t="s">
        <v>298</v>
      </c>
      <c r="N183" s="8">
        <v>442643</v>
      </c>
      <c r="O183" s="9"/>
      <c r="P183" s="9"/>
      <c r="Q183" s="9"/>
      <c r="R183" s="9"/>
      <c r="S183" s="505">
        <v>0</v>
      </c>
    </row>
    <row r="184" spans="1:19" s="143" customFormat="1" ht="17.25" customHeight="1">
      <c r="A184" s="584"/>
      <c r="B184" s="284"/>
      <c r="C184" s="518"/>
      <c r="D184" s="522"/>
      <c r="E184" s="522"/>
      <c r="F184" s="522"/>
      <c r="G184" s="523"/>
      <c r="H184" s="509"/>
      <c r="I184" s="467"/>
      <c r="J184" s="456"/>
      <c r="K184" s="453"/>
      <c r="L184" s="467"/>
      <c r="M184" s="41" t="s">
        <v>299</v>
      </c>
      <c r="N184" s="10">
        <v>11717</v>
      </c>
      <c r="O184" s="10"/>
      <c r="P184" s="10"/>
      <c r="Q184" s="10"/>
      <c r="R184" s="10"/>
      <c r="S184" s="506"/>
    </row>
    <row r="185" spans="1:19" s="143" customFormat="1" ht="17.25" customHeight="1">
      <c r="A185" s="584"/>
      <c r="B185" s="284"/>
      <c r="C185" s="518"/>
      <c r="D185" s="522"/>
      <c r="E185" s="522"/>
      <c r="F185" s="522"/>
      <c r="G185" s="523"/>
      <c r="H185" s="509"/>
      <c r="I185" s="467"/>
      <c r="J185" s="456"/>
      <c r="K185" s="453"/>
      <c r="L185" s="467"/>
      <c r="M185" s="41" t="s">
        <v>300</v>
      </c>
      <c r="N185" s="11">
        <v>61340</v>
      </c>
      <c r="O185" s="10"/>
      <c r="P185" s="10"/>
      <c r="Q185" s="10"/>
      <c r="R185" s="10"/>
      <c r="S185" s="506"/>
    </row>
    <row r="186" spans="1:19" s="143" customFormat="1" ht="17.25" customHeight="1" thickBot="1">
      <c r="A186" s="585"/>
      <c r="B186" s="284"/>
      <c r="C186" s="519"/>
      <c r="D186" s="524"/>
      <c r="E186" s="524"/>
      <c r="F186" s="524"/>
      <c r="G186" s="525"/>
      <c r="H186" s="510"/>
      <c r="I186" s="469"/>
      <c r="J186" s="535"/>
      <c r="K186" s="454"/>
      <c r="L186" s="469"/>
      <c r="M186" s="282" t="s">
        <v>301</v>
      </c>
      <c r="N186" s="20">
        <f>SUM(N183:N185)</f>
        <v>515700</v>
      </c>
      <c r="O186" s="283">
        <f>SUM(O183:O185)</f>
        <v>0</v>
      </c>
      <c r="P186" s="283">
        <f>SUM(P183:P185)</f>
        <v>0</v>
      </c>
      <c r="Q186" s="283">
        <f>SUM(Q183:Q185)</f>
        <v>0</v>
      </c>
      <c r="R186" s="283">
        <f>SUM(R183:R185)</f>
        <v>0</v>
      </c>
      <c r="S186" s="507"/>
    </row>
    <row r="187" spans="1:19" s="37" customFormat="1" ht="20.25" customHeight="1" thickBot="1">
      <c r="A187" s="196"/>
      <c r="B187" s="105"/>
      <c r="C187" s="197" t="s">
        <v>348</v>
      </c>
      <c r="D187" s="196"/>
      <c r="E187" s="196"/>
      <c r="F187" s="196"/>
      <c r="G187" s="196"/>
      <c r="H187" s="196"/>
      <c r="I187" s="196"/>
      <c r="J187" s="196"/>
      <c r="K187" s="207"/>
      <c r="L187" s="196"/>
      <c r="M187" s="196"/>
      <c r="N187" s="196"/>
      <c r="O187" s="196"/>
      <c r="P187" s="196"/>
      <c r="Q187" s="196"/>
      <c r="R187" s="196"/>
      <c r="S187" s="198"/>
    </row>
    <row r="188" spans="1:19" s="143" customFormat="1" ht="15" customHeight="1">
      <c r="A188" s="584">
        <v>80130</v>
      </c>
      <c r="B188" s="284"/>
      <c r="C188" s="517"/>
      <c r="D188" s="520" t="s">
        <v>135</v>
      </c>
      <c r="E188" s="520"/>
      <c r="F188" s="520"/>
      <c r="G188" s="521"/>
      <c r="H188" s="467" t="s">
        <v>321</v>
      </c>
      <c r="I188" s="508" t="s">
        <v>339</v>
      </c>
      <c r="J188" s="467" t="s">
        <v>332</v>
      </c>
      <c r="K188" s="453">
        <v>1121704</v>
      </c>
      <c r="L188" s="467" t="s">
        <v>297</v>
      </c>
      <c r="M188" s="142" t="s">
        <v>298</v>
      </c>
      <c r="N188" s="8">
        <v>269232</v>
      </c>
      <c r="O188" s="9"/>
      <c r="P188" s="9"/>
      <c r="Q188" s="9"/>
      <c r="R188" s="9"/>
      <c r="S188" s="505">
        <v>0</v>
      </c>
    </row>
    <row r="189" spans="1:19" s="143" customFormat="1" ht="15" customHeight="1">
      <c r="A189" s="584"/>
      <c r="B189" s="284"/>
      <c r="C189" s="518"/>
      <c r="D189" s="522"/>
      <c r="E189" s="522"/>
      <c r="F189" s="522"/>
      <c r="G189" s="523"/>
      <c r="H189" s="509"/>
      <c r="I189" s="467"/>
      <c r="J189" s="467"/>
      <c r="K189" s="453"/>
      <c r="L189" s="467"/>
      <c r="M189" s="41" t="s">
        <v>299</v>
      </c>
      <c r="N189" s="10">
        <v>0</v>
      </c>
      <c r="O189" s="10"/>
      <c r="P189" s="10"/>
      <c r="Q189" s="10"/>
      <c r="R189" s="10"/>
      <c r="S189" s="506"/>
    </row>
    <row r="190" spans="1:19" s="143" customFormat="1" ht="15" customHeight="1">
      <c r="A190" s="584"/>
      <c r="B190" s="284"/>
      <c r="C190" s="518"/>
      <c r="D190" s="522"/>
      <c r="E190" s="522"/>
      <c r="F190" s="522"/>
      <c r="G190" s="523"/>
      <c r="H190" s="509"/>
      <c r="I190" s="467"/>
      <c r="J190" s="467"/>
      <c r="K190" s="453"/>
      <c r="L190" s="467"/>
      <c r="M190" s="41" t="s">
        <v>300</v>
      </c>
      <c r="N190" s="11">
        <v>33651</v>
      </c>
      <c r="O190" s="10"/>
      <c r="P190" s="10"/>
      <c r="Q190" s="10"/>
      <c r="R190" s="10"/>
      <c r="S190" s="506"/>
    </row>
    <row r="191" spans="1:19" s="143" customFormat="1" ht="15" customHeight="1" thickBot="1">
      <c r="A191" s="585"/>
      <c r="B191" s="284"/>
      <c r="C191" s="519"/>
      <c r="D191" s="524"/>
      <c r="E191" s="524"/>
      <c r="F191" s="524"/>
      <c r="G191" s="525"/>
      <c r="H191" s="510"/>
      <c r="I191" s="469"/>
      <c r="J191" s="469"/>
      <c r="K191" s="454"/>
      <c r="L191" s="469"/>
      <c r="M191" s="282" t="s">
        <v>301</v>
      </c>
      <c r="N191" s="20">
        <f>SUM(N188:N190)</f>
        <v>302883</v>
      </c>
      <c r="O191" s="283">
        <f>SUM(O188:O190)</f>
        <v>0</v>
      </c>
      <c r="P191" s="283">
        <f>SUM(P188:P190)</f>
        <v>0</v>
      </c>
      <c r="Q191" s="283">
        <f>SUM(Q188:Q190)</f>
        <v>0</v>
      </c>
      <c r="R191" s="283">
        <f>SUM(R188:R190)</f>
        <v>0</v>
      </c>
      <c r="S191" s="507"/>
    </row>
    <row r="192" spans="1:19" s="37" customFormat="1" ht="20.25" customHeight="1" thickBot="1">
      <c r="A192" s="196"/>
      <c r="B192" s="105"/>
      <c r="C192" s="197" t="s">
        <v>136</v>
      </c>
      <c r="D192" s="196"/>
      <c r="E192" s="196"/>
      <c r="F192" s="196"/>
      <c r="G192" s="196"/>
      <c r="H192" s="196"/>
      <c r="I192" s="196"/>
      <c r="J192" s="196"/>
      <c r="K192" s="207"/>
      <c r="L192" s="196"/>
      <c r="M192" s="196"/>
      <c r="N192" s="196"/>
      <c r="O192" s="196"/>
      <c r="P192" s="196"/>
      <c r="Q192" s="196"/>
      <c r="R192" s="196"/>
      <c r="S192" s="198"/>
    </row>
    <row r="193" spans="1:19" s="143" customFormat="1" ht="15" customHeight="1">
      <c r="A193" s="584">
        <v>80130</v>
      </c>
      <c r="B193" s="284"/>
      <c r="C193" s="517"/>
      <c r="D193" s="520" t="s">
        <v>349</v>
      </c>
      <c r="E193" s="520"/>
      <c r="F193" s="520"/>
      <c r="G193" s="521"/>
      <c r="H193" s="467" t="s">
        <v>321</v>
      </c>
      <c r="I193" s="508" t="s">
        <v>339</v>
      </c>
      <c r="J193" s="467" t="s">
        <v>332</v>
      </c>
      <c r="K193" s="453">
        <v>1255335</v>
      </c>
      <c r="L193" s="467" t="s">
        <v>297</v>
      </c>
      <c r="M193" s="142" t="s">
        <v>298</v>
      </c>
      <c r="N193" s="8">
        <v>309397</v>
      </c>
      <c r="O193" s="9"/>
      <c r="P193" s="9"/>
      <c r="Q193" s="9"/>
      <c r="R193" s="9"/>
      <c r="S193" s="505">
        <v>0</v>
      </c>
    </row>
    <row r="194" spans="1:19" s="143" customFormat="1" ht="15" customHeight="1">
      <c r="A194" s="584"/>
      <c r="B194" s="284"/>
      <c r="C194" s="518"/>
      <c r="D194" s="522"/>
      <c r="E194" s="522"/>
      <c r="F194" s="522"/>
      <c r="G194" s="523"/>
      <c r="H194" s="509"/>
      <c r="I194" s="467"/>
      <c r="J194" s="467"/>
      <c r="K194" s="453"/>
      <c r="L194" s="467"/>
      <c r="M194" s="41" t="s">
        <v>299</v>
      </c>
      <c r="N194" s="10">
        <v>0</v>
      </c>
      <c r="O194" s="10"/>
      <c r="P194" s="10"/>
      <c r="Q194" s="10"/>
      <c r="R194" s="10"/>
      <c r="S194" s="506"/>
    </row>
    <row r="195" spans="1:19" s="143" customFormat="1" ht="15" customHeight="1">
      <c r="A195" s="584"/>
      <c r="B195" s="284"/>
      <c r="C195" s="518"/>
      <c r="D195" s="522"/>
      <c r="E195" s="522"/>
      <c r="F195" s="522"/>
      <c r="G195" s="523"/>
      <c r="H195" s="509"/>
      <c r="I195" s="467"/>
      <c r="J195" s="467"/>
      <c r="K195" s="453"/>
      <c r="L195" s="467"/>
      <c r="M195" s="41" t="s">
        <v>300</v>
      </c>
      <c r="N195" s="11">
        <v>60000</v>
      </c>
      <c r="O195" s="10"/>
      <c r="P195" s="10"/>
      <c r="Q195" s="10"/>
      <c r="R195" s="10"/>
      <c r="S195" s="506"/>
    </row>
    <row r="196" spans="1:19" s="143" customFormat="1" ht="15" customHeight="1" thickBot="1">
      <c r="A196" s="585"/>
      <c r="B196" s="284"/>
      <c r="C196" s="519"/>
      <c r="D196" s="524"/>
      <c r="E196" s="524"/>
      <c r="F196" s="524"/>
      <c r="G196" s="525"/>
      <c r="H196" s="510"/>
      <c r="I196" s="469"/>
      <c r="J196" s="469"/>
      <c r="K196" s="454"/>
      <c r="L196" s="469"/>
      <c r="M196" s="282" t="s">
        <v>301</v>
      </c>
      <c r="N196" s="20">
        <f>SUM(N193:N195)</f>
        <v>369397</v>
      </c>
      <c r="O196" s="283">
        <f>SUM(O193:O195)</f>
        <v>0</v>
      </c>
      <c r="P196" s="283">
        <f>SUM(P193:P195)</f>
        <v>0</v>
      </c>
      <c r="Q196" s="283">
        <f>SUM(Q193:Q195)</f>
        <v>0</v>
      </c>
      <c r="R196" s="283">
        <f>SUM(R193:R195)</f>
        <v>0</v>
      </c>
      <c r="S196" s="507"/>
    </row>
    <row r="197" spans="1:19" s="37" customFormat="1" ht="20.25" customHeight="1" thickBot="1">
      <c r="A197" s="196"/>
      <c r="B197" s="105"/>
      <c r="C197" s="197" t="s">
        <v>350</v>
      </c>
      <c r="D197" s="196"/>
      <c r="E197" s="196"/>
      <c r="F197" s="196"/>
      <c r="G197" s="196"/>
      <c r="H197" s="196"/>
      <c r="I197" s="196"/>
      <c r="J197" s="196"/>
      <c r="K197" s="207"/>
      <c r="L197" s="196"/>
      <c r="M197" s="196"/>
      <c r="N197" s="196"/>
      <c r="O197" s="196"/>
      <c r="P197" s="196"/>
      <c r="Q197" s="196"/>
      <c r="R197" s="196"/>
      <c r="S197" s="198"/>
    </row>
    <row r="198" spans="1:19" s="143" customFormat="1" ht="21.75" customHeight="1">
      <c r="A198" s="584">
        <v>80130</v>
      </c>
      <c r="B198" s="284"/>
      <c r="C198" s="517"/>
      <c r="D198" s="520" t="s">
        <v>139</v>
      </c>
      <c r="E198" s="520"/>
      <c r="F198" s="520"/>
      <c r="G198" s="521"/>
      <c r="H198" s="467" t="s">
        <v>321</v>
      </c>
      <c r="I198" s="508" t="s">
        <v>351</v>
      </c>
      <c r="J198" s="467" t="s">
        <v>332</v>
      </c>
      <c r="K198" s="453">
        <v>375120</v>
      </c>
      <c r="L198" s="467" t="s">
        <v>297</v>
      </c>
      <c r="M198" s="142" t="s">
        <v>298</v>
      </c>
      <c r="N198" s="8">
        <v>38548</v>
      </c>
      <c r="O198" s="9"/>
      <c r="P198" s="9"/>
      <c r="Q198" s="9"/>
      <c r="R198" s="9"/>
      <c r="S198" s="505">
        <v>0</v>
      </c>
    </row>
    <row r="199" spans="1:19" s="143" customFormat="1" ht="21.75" customHeight="1">
      <c r="A199" s="584"/>
      <c r="B199" s="284"/>
      <c r="C199" s="518"/>
      <c r="D199" s="522"/>
      <c r="E199" s="522"/>
      <c r="F199" s="522"/>
      <c r="G199" s="523"/>
      <c r="H199" s="509"/>
      <c r="I199" s="467"/>
      <c r="J199" s="467"/>
      <c r="K199" s="453"/>
      <c r="L199" s="467"/>
      <c r="M199" s="41" t="s">
        <v>299</v>
      </c>
      <c r="N199" s="10">
        <v>0</v>
      </c>
      <c r="O199" s="10"/>
      <c r="P199" s="10"/>
      <c r="Q199" s="10"/>
      <c r="R199" s="10"/>
      <c r="S199" s="506"/>
    </row>
    <row r="200" spans="1:19" s="143" customFormat="1" ht="21.75" customHeight="1">
      <c r="A200" s="584"/>
      <c r="B200" s="284"/>
      <c r="C200" s="518"/>
      <c r="D200" s="522"/>
      <c r="E200" s="522"/>
      <c r="F200" s="522"/>
      <c r="G200" s="523"/>
      <c r="H200" s="509"/>
      <c r="I200" s="467"/>
      <c r="J200" s="467"/>
      <c r="K200" s="453"/>
      <c r="L200" s="467"/>
      <c r="M200" s="41" t="s">
        <v>300</v>
      </c>
      <c r="N200" s="11">
        <v>6802</v>
      </c>
      <c r="O200" s="10"/>
      <c r="P200" s="10"/>
      <c r="Q200" s="10"/>
      <c r="R200" s="10"/>
      <c r="S200" s="506"/>
    </row>
    <row r="201" spans="1:19" s="143" customFormat="1" ht="21.75" customHeight="1" thickBot="1">
      <c r="A201" s="585"/>
      <c r="B201" s="284"/>
      <c r="C201" s="519"/>
      <c r="D201" s="524"/>
      <c r="E201" s="524"/>
      <c r="F201" s="524"/>
      <c r="G201" s="525"/>
      <c r="H201" s="510"/>
      <c r="I201" s="469"/>
      <c r="J201" s="469"/>
      <c r="K201" s="454"/>
      <c r="L201" s="469"/>
      <c r="M201" s="282" t="s">
        <v>301</v>
      </c>
      <c r="N201" s="20">
        <f>SUM(N198:N200)</f>
        <v>45350</v>
      </c>
      <c r="O201" s="283">
        <f>SUM(O198:O200)</f>
        <v>0</v>
      </c>
      <c r="P201" s="283">
        <f>SUM(P198:P200)</f>
        <v>0</v>
      </c>
      <c r="Q201" s="283">
        <f>SUM(Q198:Q200)</f>
        <v>0</v>
      </c>
      <c r="R201" s="283">
        <f>SUM(R198:R200)</f>
        <v>0</v>
      </c>
      <c r="S201" s="507"/>
    </row>
    <row r="202" spans="1:19" s="37" customFormat="1" ht="20.25" customHeight="1" thickBot="1">
      <c r="A202" s="196"/>
      <c r="B202" s="105"/>
      <c r="C202" s="197" t="s">
        <v>352</v>
      </c>
      <c r="D202" s="196"/>
      <c r="E202" s="196"/>
      <c r="F202" s="196"/>
      <c r="G202" s="196"/>
      <c r="H202" s="196"/>
      <c r="I202" s="196"/>
      <c r="J202" s="196"/>
      <c r="K202" s="207"/>
      <c r="L202" s="196"/>
      <c r="M202" s="196"/>
      <c r="N202" s="196"/>
      <c r="O202" s="196"/>
      <c r="P202" s="196"/>
      <c r="Q202" s="196"/>
      <c r="R202" s="196"/>
      <c r="S202" s="198"/>
    </row>
    <row r="203" spans="1:19" s="143" customFormat="1" ht="32.25" customHeight="1">
      <c r="A203" s="584">
        <v>80130</v>
      </c>
      <c r="B203" s="284"/>
      <c r="C203" s="517"/>
      <c r="D203" s="520" t="s">
        <v>140</v>
      </c>
      <c r="E203" s="520"/>
      <c r="F203" s="520"/>
      <c r="G203" s="521"/>
      <c r="H203" s="467" t="s">
        <v>321</v>
      </c>
      <c r="I203" s="508" t="s">
        <v>351</v>
      </c>
      <c r="J203" s="467" t="s">
        <v>332</v>
      </c>
      <c r="K203" s="453">
        <v>897792</v>
      </c>
      <c r="L203" s="467" t="s">
        <v>297</v>
      </c>
      <c r="M203" s="142" t="s">
        <v>298</v>
      </c>
      <c r="N203" s="8">
        <v>153542</v>
      </c>
      <c r="O203" s="9"/>
      <c r="P203" s="9"/>
      <c r="Q203" s="9"/>
      <c r="R203" s="9"/>
      <c r="S203" s="505">
        <v>0</v>
      </c>
    </row>
    <row r="204" spans="1:19" s="143" customFormat="1" ht="32.25" customHeight="1">
      <c r="A204" s="584"/>
      <c r="B204" s="284"/>
      <c r="C204" s="518"/>
      <c r="D204" s="522"/>
      <c r="E204" s="522"/>
      <c r="F204" s="522"/>
      <c r="G204" s="523"/>
      <c r="H204" s="509"/>
      <c r="I204" s="467"/>
      <c r="J204" s="467"/>
      <c r="K204" s="453"/>
      <c r="L204" s="467"/>
      <c r="M204" s="41" t="s">
        <v>299</v>
      </c>
      <c r="N204" s="10">
        <v>0</v>
      </c>
      <c r="O204" s="10"/>
      <c r="P204" s="10"/>
      <c r="Q204" s="10"/>
      <c r="R204" s="10"/>
      <c r="S204" s="506"/>
    </row>
    <row r="205" spans="1:19" s="143" customFormat="1" ht="32.25" customHeight="1">
      <c r="A205" s="584"/>
      <c r="B205" s="284"/>
      <c r="C205" s="518"/>
      <c r="D205" s="522"/>
      <c r="E205" s="522"/>
      <c r="F205" s="522"/>
      <c r="G205" s="523"/>
      <c r="H205" s="509"/>
      <c r="I205" s="467"/>
      <c r="J205" s="467"/>
      <c r="K205" s="453"/>
      <c r="L205" s="467"/>
      <c r="M205" s="41" t="s">
        <v>300</v>
      </c>
      <c r="N205" s="11">
        <v>27096</v>
      </c>
      <c r="O205" s="10"/>
      <c r="P205" s="10"/>
      <c r="Q205" s="10"/>
      <c r="R205" s="10"/>
      <c r="S205" s="506"/>
    </row>
    <row r="206" spans="1:19" s="143" customFormat="1" ht="32.25" customHeight="1" thickBot="1">
      <c r="A206" s="585"/>
      <c r="B206" s="284"/>
      <c r="C206" s="519"/>
      <c r="D206" s="524"/>
      <c r="E206" s="524"/>
      <c r="F206" s="524"/>
      <c r="G206" s="525"/>
      <c r="H206" s="510"/>
      <c r="I206" s="469"/>
      <c r="J206" s="469"/>
      <c r="K206" s="454"/>
      <c r="L206" s="469"/>
      <c r="M206" s="282" t="s">
        <v>301</v>
      </c>
      <c r="N206" s="20">
        <f>SUM(N203:N205)</f>
        <v>180638</v>
      </c>
      <c r="O206" s="283">
        <f>SUM(O203:O205)</f>
        <v>0</v>
      </c>
      <c r="P206" s="283">
        <f>SUM(P203:P205)</f>
        <v>0</v>
      </c>
      <c r="Q206" s="283">
        <f>SUM(Q203:Q205)</f>
        <v>0</v>
      </c>
      <c r="R206" s="283">
        <f>SUM(R203:R205)</f>
        <v>0</v>
      </c>
      <c r="S206" s="507"/>
    </row>
    <row r="207" spans="1:19" s="37" customFormat="1" ht="20.25" customHeight="1" thickBot="1">
      <c r="A207" s="196"/>
      <c r="B207" s="105"/>
      <c r="C207" s="197" t="s">
        <v>353</v>
      </c>
      <c r="D207" s="196"/>
      <c r="E207" s="196"/>
      <c r="F207" s="196"/>
      <c r="G207" s="196"/>
      <c r="H207" s="196"/>
      <c r="I207" s="196"/>
      <c r="J207" s="196"/>
      <c r="K207" s="207"/>
      <c r="L207" s="196"/>
      <c r="M207" s="196"/>
      <c r="N207" s="196"/>
      <c r="O207" s="196"/>
      <c r="P207" s="196"/>
      <c r="Q207" s="196"/>
      <c r="R207" s="196"/>
      <c r="S207" s="198"/>
    </row>
    <row r="208" spans="1:19" s="143" customFormat="1" ht="22.5" customHeight="1">
      <c r="A208" s="584">
        <v>80130</v>
      </c>
      <c r="B208" s="284"/>
      <c r="C208" s="517"/>
      <c r="D208" s="520" t="s">
        <v>354</v>
      </c>
      <c r="E208" s="520"/>
      <c r="F208" s="520"/>
      <c r="G208" s="521"/>
      <c r="H208" s="467" t="s">
        <v>321</v>
      </c>
      <c r="I208" s="508" t="s">
        <v>351</v>
      </c>
      <c r="J208" s="467" t="s">
        <v>332</v>
      </c>
      <c r="K208" s="453">
        <v>562320</v>
      </c>
      <c r="L208" s="467" t="s">
        <v>297</v>
      </c>
      <c r="M208" s="142" t="s">
        <v>298</v>
      </c>
      <c r="N208" s="8">
        <v>127492</v>
      </c>
      <c r="O208" s="9"/>
      <c r="P208" s="9"/>
      <c r="Q208" s="9"/>
      <c r="R208" s="9"/>
      <c r="S208" s="505">
        <v>0</v>
      </c>
    </row>
    <row r="209" spans="1:19" s="143" customFormat="1" ht="22.5" customHeight="1">
      <c r="A209" s="584"/>
      <c r="B209" s="284"/>
      <c r="C209" s="518"/>
      <c r="D209" s="522"/>
      <c r="E209" s="522"/>
      <c r="F209" s="522"/>
      <c r="G209" s="523"/>
      <c r="H209" s="509"/>
      <c r="I209" s="467"/>
      <c r="J209" s="467"/>
      <c r="K209" s="453"/>
      <c r="L209" s="467"/>
      <c r="M209" s="41" t="s">
        <v>299</v>
      </c>
      <c r="N209" s="10">
        <v>0</v>
      </c>
      <c r="O209" s="10"/>
      <c r="P209" s="10"/>
      <c r="Q209" s="10"/>
      <c r="R209" s="10"/>
      <c r="S209" s="506"/>
    </row>
    <row r="210" spans="1:19" s="143" customFormat="1" ht="22.5" customHeight="1">
      <c r="A210" s="584"/>
      <c r="B210" s="284"/>
      <c r="C210" s="518"/>
      <c r="D210" s="522"/>
      <c r="E210" s="522"/>
      <c r="F210" s="522"/>
      <c r="G210" s="523"/>
      <c r="H210" s="509"/>
      <c r="I210" s="467"/>
      <c r="J210" s="467"/>
      <c r="K210" s="453"/>
      <c r="L210" s="467"/>
      <c r="M210" s="41" t="s">
        <v>300</v>
      </c>
      <c r="N210" s="11">
        <v>22498</v>
      </c>
      <c r="O210" s="10"/>
      <c r="P210" s="10"/>
      <c r="Q210" s="10"/>
      <c r="R210" s="10"/>
      <c r="S210" s="506"/>
    </row>
    <row r="211" spans="1:19" s="143" customFormat="1" ht="22.5" customHeight="1" thickBot="1">
      <c r="A211" s="585"/>
      <c r="B211" s="284"/>
      <c r="C211" s="519"/>
      <c r="D211" s="524"/>
      <c r="E211" s="524"/>
      <c r="F211" s="524"/>
      <c r="G211" s="525"/>
      <c r="H211" s="510"/>
      <c r="I211" s="469"/>
      <c r="J211" s="469"/>
      <c r="K211" s="454"/>
      <c r="L211" s="469"/>
      <c r="M211" s="282" t="s">
        <v>301</v>
      </c>
      <c r="N211" s="20">
        <f>SUM(N208:N210)</f>
        <v>149990</v>
      </c>
      <c r="O211" s="283">
        <f>SUM(O208:O210)</f>
        <v>0</v>
      </c>
      <c r="P211" s="283">
        <f>SUM(P208:P210)</f>
        <v>0</v>
      </c>
      <c r="Q211" s="283">
        <f>SUM(Q208:Q210)</f>
        <v>0</v>
      </c>
      <c r="R211" s="283">
        <f>SUM(R208:R210)</f>
        <v>0</v>
      </c>
      <c r="S211" s="507"/>
    </row>
    <row r="212" spans="1:19" s="37" customFormat="1" ht="20.25" customHeight="1" thickBot="1">
      <c r="A212" s="196"/>
      <c r="B212" s="105"/>
      <c r="C212" s="197" t="s">
        <v>355</v>
      </c>
      <c r="D212" s="196"/>
      <c r="E212" s="196"/>
      <c r="F212" s="196"/>
      <c r="G212" s="196"/>
      <c r="H212" s="196"/>
      <c r="I212" s="196"/>
      <c r="J212" s="196"/>
      <c r="K212" s="207"/>
      <c r="L212" s="196"/>
      <c r="M212" s="196"/>
      <c r="N212" s="196"/>
      <c r="O212" s="196"/>
      <c r="P212" s="196"/>
      <c r="Q212" s="196"/>
      <c r="R212" s="196"/>
      <c r="S212" s="198"/>
    </row>
    <row r="213" spans="1:19" s="143" customFormat="1" ht="19.5" customHeight="1">
      <c r="A213" s="584">
        <v>80130</v>
      </c>
      <c r="B213" s="284"/>
      <c r="C213" s="517"/>
      <c r="D213" s="520" t="s">
        <v>356</v>
      </c>
      <c r="E213" s="520"/>
      <c r="F213" s="520"/>
      <c r="G213" s="521"/>
      <c r="H213" s="467" t="s">
        <v>321</v>
      </c>
      <c r="I213" s="508" t="s">
        <v>342</v>
      </c>
      <c r="J213" s="467" t="s">
        <v>332</v>
      </c>
      <c r="K213" s="453">
        <v>402249</v>
      </c>
      <c r="L213" s="467" t="s">
        <v>297</v>
      </c>
      <c r="M213" s="142" t="s">
        <v>298</v>
      </c>
      <c r="N213" s="8">
        <v>36524</v>
      </c>
      <c r="O213" s="9"/>
      <c r="P213" s="9"/>
      <c r="Q213" s="9"/>
      <c r="R213" s="9"/>
      <c r="S213" s="505">
        <v>0</v>
      </c>
    </row>
    <row r="214" spans="1:19" s="143" customFormat="1" ht="19.5" customHeight="1">
      <c r="A214" s="584"/>
      <c r="B214" s="284"/>
      <c r="C214" s="518"/>
      <c r="D214" s="522"/>
      <c r="E214" s="522"/>
      <c r="F214" s="522"/>
      <c r="G214" s="523"/>
      <c r="H214" s="509"/>
      <c r="I214" s="467"/>
      <c r="J214" s="467"/>
      <c r="K214" s="453"/>
      <c r="L214" s="467"/>
      <c r="M214" s="41" t="s">
        <v>299</v>
      </c>
      <c r="N214" s="10">
        <v>0</v>
      </c>
      <c r="O214" s="10"/>
      <c r="P214" s="10"/>
      <c r="Q214" s="10"/>
      <c r="R214" s="10"/>
      <c r="S214" s="506"/>
    </row>
    <row r="215" spans="1:19" s="143" customFormat="1" ht="19.5" customHeight="1">
      <c r="A215" s="584"/>
      <c r="B215" s="284"/>
      <c r="C215" s="518"/>
      <c r="D215" s="522"/>
      <c r="E215" s="522"/>
      <c r="F215" s="522"/>
      <c r="G215" s="523"/>
      <c r="H215" s="509"/>
      <c r="I215" s="467"/>
      <c r="J215" s="467"/>
      <c r="K215" s="453"/>
      <c r="L215" s="467"/>
      <c r="M215" s="41" t="s">
        <v>300</v>
      </c>
      <c r="N215" s="11">
        <v>6445</v>
      </c>
      <c r="O215" s="10"/>
      <c r="P215" s="10"/>
      <c r="Q215" s="10"/>
      <c r="R215" s="10"/>
      <c r="S215" s="506"/>
    </row>
    <row r="216" spans="1:19" s="143" customFormat="1" ht="19.5" customHeight="1" thickBot="1">
      <c r="A216" s="585"/>
      <c r="B216" s="284"/>
      <c r="C216" s="519"/>
      <c r="D216" s="524"/>
      <c r="E216" s="524"/>
      <c r="F216" s="524"/>
      <c r="G216" s="525"/>
      <c r="H216" s="510"/>
      <c r="I216" s="469"/>
      <c r="J216" s="469"/>
      <c r="K216" s="454"/>
      <c r="L216" s="469"/>
      <c r="M216" s="282" t="s">
        <v>301</v>
      </c>
      <c r="N216" s="20">
        <f>SUM(N213:N215)</f>
        <v>42969</v>
      </c>
      <c r="O216" s="283">
        <f>SUM(O213:O215)</f>
        <v>0</v>
      </c>
      <c r="P216" s="283">
        <f>SUM(P213:P215)</f>
        <v>0</v>
      </c>
      <c r="Q216" s="283">
        <f>SUM(Q213:Q215)</f>
        <v>0</v>
      </c>
      <c r="R216" s="283">
        <f>SUM(R213:R215)</f>
        <v>0</v>
      </c>
      <c r="S216" s="507"/>
    </row>
    <row r="217" spans="1:19" s="37" customFormat="1" ht="20.25" customHeight="1" thickBot="1">
      <c r="A217" s="196"/>
      <c r="B217" s="105"/>
      <c r="C217" s="197" t="s">
        <v>357</v>
      </c>
      <c r="D217" s="196"/>
      <c r="E217" s="196"/>
      <c r="F217" s="196"/>
      <c r="G217" s="196"/>
      <c r="H217" s="196"/>
      <c r="I217" s="196"/>
      <c r="J217" s="196"/>
      <c r="K217" s="207"/>
      <c r="L217" s="196"/>
      <c r="M217" s="196"/>
      <c r="N217" s="196"/>
      <c r="O217" s="196"/>
      <c r="P217" s="196"/>
      <c r="Q217" s="196"/>
      <c r="R217" s="196"/>
      <c r="S217" s="198"/>
    </row>
    <row r="218" spans="1:19" s="143" customFormat="1" ht="15" customHeight="1">
      <c r="A218" s="584">
        <v>80130</v>
      </c>
      <c r="B218" s="284"/>
      <c r="C218" s="517"/>
      <c r="D218" s="520" t="s">
        <v>358</v>
      </c>
      <c r="E218" s="520"/>
      <c r="F218" s="520"/>
      <c r="G218" s="521"/>
      <c r="H218" s="467" t="s">
        <v>330</v>
      </c>
      <c r="I218" s="508" t="s">
        <v>342</v>
      </c>
      <c r="J218" s="467" t="s">
        <v>313</v>
      </c>
      <c r="K218" s="453">
        <v>229188</v>
      </c>
      <c r="L218" s="467" t="s">
        <v>297</v>
      </c>
      <c r="M218" s="142" t="s">
        <v>298</v>
      </c>
      <c r="N218" s="8">
        <v>96844</v>
      </c>
      <c r="O218" s="9">
        <v>48246</v>
      </c>
      <c r="P218" s="9"/>
      <c r="Q218" s="9"/>
      <c r="R218" s="9"/>
      <c r="S218" s="505">
        <v>170694</v>
      </c>
    </row>
    <row r="219" spans="1:19" s="143" customFormat="1" ht="15" customHeight="1">
      <c r="A219" s="584"/>
      <c r="B219" s="284"/>
      <c r="C219" s="518"/>
      <c r="D219" s="522"/>
      <c r="E219" s="522"/>
      <c r="F219" s="522"/>
      <c r="G219" s="523"/>
      <c r="H219" s="509"/>
      <c r="I219" s="467"/>
      <c r="J219" s="467"/>
      <c r="K219" s="453"/>
      <c r="L219" s="467"/>
      <c r="M219" s="41" t="s">
        <v>299</v>
      </c>
      <c r="N219" s="10">
        <v>17090</v>
      </c>
      <c r="O219" s="10">
        <v>8514</v>
      </c>
      <c r="P219" s="10"/>
      <c r="Q219" s="10"/>
      <c r="R219" s="10"/>
      <c r="S219" s="506"/>
    </row>
    <row r="220" spans="1:19" s="143" customFormat="1" ht="15" customHeight="1">
      <c r="A220" s="584"/>
      <c r="B220" s="284"/>
      <c r="C220" s="518"/>
      <c r="D220" s="522"/>
      <c r="E220" s="522"/>
      <c r="F220" s="522"/>
      <c r="G220" s="523"/>
      <c r="H220" s="509"/>
      <c r="I220" s="467"/>
      <c r="J220" s="467"/>
      <c r="K220" s="453"/>
      <c r="L220" s="467"/>
      <c r="M220" s="41" t="s">
        <v>300</v>
      </c>
      <c r="N220" s="11"/>
      <c r="O220" s="10"/>
      <c r="P220" s="10"/>
      <c r="Q220" s="10"/>
      <c r="R220" s="10"/>
      <c r="S220" s="506"/>
    </row>
    <row r="221" spans="1:19" s="143" customFormat="1" ht="15" customHeight="1" thickBot="1">
      <c r="A221" s="585"/>
      <c r="B221" s="284"/>
      <c r="C221" s="519"/>
      <c r="D221" s="524"/>
      <c r="E221" s="524"/>
      <c r="F221" s="524"/>
      <c r="G221" s="525"/>
      <c r="H221" s="510"/>
      <c r="I221" s="469"/>
      <c r="J221" s="469"/>
      <c r="K221" s="454"/>
      <c r="L221" s="469"/>
      <c r="M221" s="282" t="s">
        <v>301</v>
      </c>
      <c r="N221" s="20">
        <f>SUM(N218:N220)</f>
        <v>113934</v>
      </c>
      <c r="O221" s="283">
        <f>SUM(O218:O220)</f>
        <v>56760</v>
      </c>
      <c r="P221" s="283">
        <f>SUM(P218:P220)</f>
        <v>0</v>
      </c>
      <c r="Q221" s="283">
        <f>SUM(Q218:Q220)</f>
        <v>0</v>
      </c>
      <c r="R221" s="283">
        <f>SUM(R218:R220)</f>
        <v>0</v>
      </c>
      <c r="S221" s="507"/>
    </row>
    <row r="222" spans="1:19" s="37" customFormat="1" ht="20.25" customHeight="1" thickBot="1">
      <c r="A222" s="196"/>
      <c r="B222" s="105"/>
      <c r="C222" s="197" t="s">
        <v>359</v>
      </c>
      <c r="D222" s="196"/>
      <c r="E222" s="196"/>
      <c r="F222" s="196"/>
      <c r="G222" s="196"/>
      <c r="H222" s="196"/>
      <c r="I222" s="196"/>
      <c r="J222" s="196"/>
      <c r="K222" s="207"/>
      <c r="L222" s="196"/>
      <c r="M222" s="196"/>
      <c r="N222" s="196"/>
      <c r="O222" s="196"/>
      <c r="P222" s="196"/>
      <c r="Q222" s="196"/>
      <c r="R222" s="196"/>
      <c r="S222" s="198"/>
    </row>
    <row r="223" spans="1:19" s="143" customFormat="1" ht="20.25" customHeight="1">
      <c r="A223" s="584">
        <v>80130</v>
      </c>
      <c r="B223" s="284"/>
      <c r="C223" s="517"/>
      <c r="D223" s="520" t="s">
        <v>360</v>
      </c>
      <c r="E223" s="520"/>
      <c r="F223" s="520"/>
      <c r="G223" s="521"/>
      <c r="H223" s="467" t="s">
        <v>321</v>
      </c>
      <c r="I223" s="508" t="s">
        <v>342</v>
      </c>
      <c r="J223" s="467" t="s">
        <v>332</v>
      </c>
      <c r="K223" s="453">
        <v>799129</v>
      </c>
      <c r="L223" s="467" t="s">
        <v>297</v>
      </c>
      <c r="M223" s="142" t="s">
        <v>298</v>
      </c>
      <c r="N223" s="8">
        <v>52919</v>
      </c>
      <c r="O223" s="9"/>
      <c r="P223" s="9"/>
      <c r="Q223" s="9"/>
      <c r="R223" s="9"/>
      <c r="S223" s="505">
        <v>0</v>
      </c>
    </row>
    <row r="224" spans="1:19" s="143" customFormat="1" ht="20.25" customHeight="1">
      <c r="A224" s="584"/>
      <c r="B224" s="284"/>
      <c r="C224" s="518"/>
      <c r="D224" s="522"/>
      <c r="E224" s="522"/>
      <c r="F224" s="522"/>
      <c r="G224" s="523"/>
      <c r="H224" s="509"/>
      <c r="I224" s="467"/>
      <c r="J224" s="467"/>
      <c r="K224" s="453"/>
      <c r="L224" s="467"/>
      <c r="M224" s="41" t="s">
        <v>299</v>
      </c>
      <c r="N224" s="10">
        <v>0</v>
      </c>
      <c r="O224" s="10"/>
      <c r="P224" s="10"/>
      <c r="Q224" s="10"/>
      <c r="R224" s="10"/>
      <c r="S224" s="506"/>
    </row>
    <row r="225" spans="1:19" s="143" customFormat="1" ht="20.25" customHeight="1">
      <c r="A225" s="584"/>
      <c r="B225" s="284"/>
      <c r="C225" s="518"/>
      <c r="D225" s="522"/>
      <c r="E225" s="522"/>
      <c r="F225" s="522"/>
      <c r="G225" s="523"/>
      <c r="H225" s="509"/>
      <c r="I225" s="467"/>
      <c r="J225" s="467"/>
      <c r="K225" s="453"/>
      <c r="L225" s="467"/>
      <c r="M225" s="41" t="s">
        <v>300</v>
      </c>
      <c r="N225" s="11">
        <v>9339</v>
      </c>
      <c r="O225" s="10"/>
      <c r="P225" s="10"/>
      <c r="Q225" s="10"/>
      <c r="R225" s="10"/>
      <c r="S225" s="506"/>
    </row>
    <row r="226" spans="1:19" s="143" customFormat="1" ht="20.25" customHeight="1" thickBot="1">
      <c r="A226" s="585"/>
      <c r="B226" s="284"/>
      <c r="C226" s="519"/>
      <c r="D226" s="524"/>
      <c r="E226" s="524"/>
      <c r="F226" s="524"/>
      <c r="G226" s="525"/>
      <c r="H226" s="510"/>
      <c r="I226" s="469"/>
      <c r="J226" s="469"/>
      <c r="K226" s="454"/>
      <c r="L226" s="469"/>
      <c r="M226" s="282" t="s">
        <v>301</v>
      </c>
      <c r="N226" s="20">
        <f>SUM(N223:N225)</f>
        <v>62258</v>
      </c>
      <c r="O226" s="283">
        <f>SUM(O223:O225)</f>
        <v>0</v>
      </c>
      <c r="P226" s="283">
        <f>SUM(P223:P225)</f>
        <v>0</v>
      </c>
      <c r="Q226" s="283">
        <f>SUM(Q223:Q225)</f>
        <v>0</v>
      </c>
      <c r="R226" s="283">
        <f>SUM(R223:R225)</f>
        <v>0</v>
      </c>
      <c r="S226" s="507"/>
    </row>
    <row r="227" spans="1:19" s="37" customFormat="1" ht="20.25" customHeight="1" thickBot="1">
      <c r="A227" s="196"/>
      <c r="B227" s="105"/>
      <c r="C227" s="197" t="s">
        <v>141</v>
      </c>
      <c r="D227" s="196"/>
      <c r="E227" s="196"/>
      <c r="F227" s="196"/>
      <c r="G227" s="196"/>
      <c r="H227" s="196"/>
      <c r="I227" s="196"/>
      <c r="J227" s="196"/>
      <c r="K227" s="207"/>
      <c r="L227" s="196"/>
      <c r="M227" s="196"/>
      <c r="N227" s="196"/>
      <c r="O227" s="196"/>
      <c r="P227" s="196"/>
      <c r="Q227" s="196"/>
      <c r="R227" s="196"/>
      <c r="S227" s="198"/>
    </row>
    <row r="228" spans="1:19" s="143" customFormat="1" ht="21.75" customHeight="1">
      <c r="A228" s="584">
        <v>80130</v>
      </c>
      <c r="B228" s="284"/>
      <c r="C228" s="517"/>
      <c r="D228" s="520" t="s">
        <v>430</v>
      </c>
      <c r="E228" s="520"/>
      <c r="F228" s="520"/>
      <c r="G228" s="521"/>
      <c r="H228" s="467" t="s">
        <v>321</v>
      </c>
      <c r="I228" s="508" t="s">
        <v>361</v>
      </c>
      <c r="J228" s="467" t="s">
        <v>347</v>
      </c>
      <c r="K228" s="453">
        <v>251867</v>
      </c>
      <c r="L228" s="467" t="s">
        <v>297</v>
      </c>
      <c r="M228" s="142" t="s">
        <v>298</v>
      </c>
      <c r="N228" s="8">
        <v>83390</v>
      </c>
      <c r="O228" s="9"/>
      <c r="P228" s="9"/>
      <c r="Q228" s="9"/>
      <c r="R228" s="9"/>
      <c r="S228" s="505">
        <v>0</v>
      </c>
    </row>
    <row r="229" spans="1:19" s="143" customFormat="1" ht="21.75" customHeight="1">
      <c r="A229" s="584"/>
      <c r="B229" s="284"/>
      <c r="C229" s="518"/>
      <c r="D229" s="522"/>
      <c r="E229" s="522"/>
      <c r="F229" s="522"/>
      <c r="G229" s="523"/>
      <c r="H229" s="509"/>
      <c r="I229" s="467"/>
      <c r="J229" s="467"/>
      <c r="K229" s="453"/>
      <c r="L229" s="467"/>
      <c r="M229" s="41" t="s">
        <v>299</v>
      </c>
      <c r="N229" s="10">
        <v>0</v>
      </c>
      <c r="O229" s="10"/>
      <c r="P229" s="10"/>
      <c r="Q229" s="10"/>
      <c r="R229" s="10"/>
      <c r="S229" s="506"/>
    </row>
    <row r="230" spans="1:19" s="143" customFormat="1" ht="21.75" customHeight="1">
      <c r="A230" s="584"/>
      <c r="B230" s="284"/>
      <c r="C230" s="518"/>
      <c r="D230" s="522"/>
      <c r="E230" s="522"/>
      <c r="F230" s="522"/>
      <c r="G230" s="523"/>
      <c r="H230" s="509"/>
      <c r="I230" s="467"/>
      <c r="J230" s="467"/>
      <c r="K230" s="453"/>
      <c r="L230" s="467"/>
      <c r="M230" s="41" t="s">
        <v>300</v>
      </c>
      <c r="N230" s="11">
        <v>14716</v>
      </c>
      <c r="O230" s="10"/>
      <c r="P230" s="10"/>
      <c r="Q230" s="10"/>
      <c r="R230" s="10"/>
      <c r="S230" s="506"/>
    </row>
    <row r="231" spans="1:19" s="143" customFormat="1" ht="21.75" customHeight="1" thickBot="1">
      <c r="A231" s="585"/>
      <c r="B231" s="284"/>
      <c r="C231" s="519"/>
      <c r="D231" s="524"/>
      <c r="E231" s="524"/>
      <c r="F231" s="524"/>
      <c r="G231" s="525"/>
      <c r="H231" s="510"/>
      <c r="I231" s="469"/>
      <c r="J231" s="469"/>
      <c r="K231" s="454"/>
      <c r="L231" s="469"/>
      <c r="M231" s="282" t="s">
        <v>301</v>
      </c>
      <c r="N231" s="20">
        <f>SUM(N228:N230)</f>
        <v>98106</v>
      </c>
      <c r="O231" s="283">
        <f>SUM(O228:O230)</f>
        <v>0</v>
      </c>
      <c r="P231" s="283">
        <f>SUM(P228:P230)</f>
        <v>0</v>
      </c>
      <c r="Q231" s="283">
        <f>SUM(Q228:Q230)</f>
        <v>0</v>
      </c>
      <c r="R231" s="283">
        <f>SUM(R228:R230)</f>
        <v>0</v>
      </c>
      <c r="S231" s="507"/>
    </row>
    <row r="232" spans="1:19" s="37" customFormat="1" ht="20.25" customHeight="1" thickBot="1">
      <c r="A232" s="196"/>
      <c r="B232" s="105"/>
      <c r="C232" s="197" t="s">
        <v>362</v>
      </c>
      <c r="D232" s="196"/>
      <c r="E232" s="196"/>
      <c r="F232" s="196"/>
      <c r="G232" s="196"/>
      <c r="H232" s="196"/>
      <c r="I232" s="196"/>
      <c r="J232" s="196"/>
      <c r="K232" s="207"/>
      <c r="L232" s="196"/>
      <c r="M232" s="196"/>
      <c r="N232" s="196"/>
      <c r="O232" s="196"/>
      <c r="P232" s="196"/>
      <c r="Q232" s="196"/>
      <c r="R232" s="196"/>
      <c r="S232" s="198"/>
    </row>
    <row r="233" spans="1:19" s="143" customFormat="1" ht="15" customHeight="1">
      <c r="A233" s="584">
        <v>80130</v>
      </c>
      <c r="B233" s="284"/>
      <c r="C233" s="517"/>
      <c r="D233" s="520" t="s">
        <v>363</v>
      </c>
      <c r="E233" s="520"/>
      <c r="F233" s="520"/>
      <c r="G233" s="521"/>
      <c r="H233" s="467" t="s">
        <v>321</v>
      </c>
      <c r="I233" s="508" t="s">
        <v>361</v>
      </c>
      <c r="J233" s="467" t="s">
        <v>347</v>
      </c>
      <c r="K233" s="453">
        <v>446740</v>
      </c>
      <c r="L233" s="467" t="s">
        <v>297</v>
      </c>
      <c r="M233" s="142" t="s">
        <v>298</v>
      </c>
      <c r="N233" s="8">
        <v>165294</v>
      </c>
      <c r="O233" s="9"/>
      <c r="P233" s="9"/>
      <c r="Q233" s="9"/>
      <c r="R233" s="9"/>
      <c r="S233" s="505">
        <v>0</v>
      </c>
    </row>
    <row r="234" spans="1:19" s="143" customFormat="1" ht="15" customHeight="1">
      <c r="A234" s="584"/>
      <c r="B234" s="284"/>
      <c r="C234" s="518"/>
      <c r="D234" s="522"/>
      <c r="E234" s="522"/>
      <c r="F234" s="522"/>
      <c r="G234" s="523"/>
      <c r="H234" s="509"/>
      <c r="I234" s="467"/>
      <c r="J234" s="467"/>
      <c r="K234" s="453"/>
      <c r="L234" s="467"/>
      <c r="M234" s="41" t="s">
        <v>299</v>
      </c>
      <c r="N234" s="10">
        <v>0</v>
      </c>
      <c r="O234" s="10"/>
      <c r="P234" s="10"/>
      <c r="Q234" s="10"/>
      <c r="R234" s="10"/>
      <c r="S234" s="506"/>
    </row>
    <row r="235" spans="1:19" s="143" customFormat="1" ht="15" customHeight="1">
      <c r="A235" s="584"/>
      <c r="B235" s="284"/>
      <c r="C235" s="518"/>
      <c r="D235" s="522"/>
      <c r="E235" s="522"/>
      <c r="F235" s="522"/>
      <c r="G235" s="523"/>
      <c r="H235" s="509"/>
      <c r="I235" s="467"/>
      <c r="J235" s="467"/>
      <c r="K235" s="453"/>
      <c r="L235" s="467"/>
      <c r="M235" s="41" t="s">
        <v>300</v>
      </c>
      <c r="N235" s="11">
        <v>29170</v>
      </c>
      <c r="O235" s="10"/>
      <c r="P235" s="10"/>
      <c r="Q235" s="10"/>
      <c r="R235" s="10"/>
      <c r="S235" s="506"/>
    </row>
    <row r="236" spans="1:19" s="143" customFormat="1" ht="15" customHeight="1" thickBot="1">
      <c r="A236" s="585"/>
      <c r="B236" s="284"/>
      <c r="C236" s="519"/>
      <c r="D236" s="524"/>
      <c r="E236" s="524"/>
      <c r="F236" s="524"/>
      <c r="G236" s="525"/>
      <c r="H236" s="510"/>
      <c r="I236" s="469"/>
      <c r="J236" s="469"/>
      <c r="K236" s="454"/>
      <c r="L236" s="469"/>
      <c r="M236" s="282" t="s">
        <v>301</v>
      </c>
      <c r="N236" s="20">
        <f>SUM(N233:N235)</f>
        <v>194464</v>
      </c>
      <c r="O236" s="283">
        <f>SUM(O233:O235)</f>
        <v>0</v>
      </c>
      <c r="P236" s="283">
        <f>SUM(P233:P235)</f>
        <v>0</v>
      </c>
      <c r="Q236" s="283">
        <f>SUM(Q233:Q235)</f>
        <v>0</v>
      </c>
      <c r="R236" s="283">
        <f>SUM(R233:R235)</f>
        <v>0</v>
      </c>
      <c r="S236" s="507"/>
    </row>
    <row r="237" spans="1:19" s="37" customFormat="1" ht="20.25" customHeight="1" thickBot="1">
      <c r="A237" s="196"/>
      <c r="B237" s="105"/>
      <c r="C237" s="197" t="s">
        <v>364</v>
      </c>
      <c r="D237" s="196"/>
      <c r="E237" s="196"/>
      <c r="F237" s="196"/>
      <c r="G237" s="196"/>
      <c r="H237" s="196"/>
      <c r="I237" s="196"/>
      <c r="J237" s="196"/>
      <c r="K237" s="207"/>
      <c r="L237" s="196"/>
      <c r="M237" s="196"/>
      <c r="N237" s="196"/>
      <c r="O237" s="196"/>
      <c r="P237" s="196"/>
      <c r="Q237" s="196"/>
      <c r="R237" s="196"/>
      <c r="S237" s="198"/>
    </row>
    <row r="238" spans="1:19" s="143" customFormat="1" ht="39" customHeight="1">
      <c r="A238" s="584">
        <v>80130</v>
      </c>
      <c r="B238" s="284"/>
      <c r="C238" s="517"/>
      <c r="D238" s="520" t="s">
        <v>431</v>
      </c>
      <c r="E238" s="520"/>
      <c r="F238" s="520"/>
      <c r="G238" s="521"/>
      <c r="H238" s="467" t="s">
        <v>321</v>
      </c>
      <c r="I238" s="508" t="s">
        <v>365</v>
      </c>
      <c r="J238" s="467" t="s">
        <v>332</v>
      </c>
      <c r="K238" s="453">
        <v>467570</v>
      </c>
      <c r="L238" s="467" t="s">
        <v>297</v>
      </c>
      <c r="M238" s="142" t="s">
        <v>298</v>
      </c>
      <c r="N238" s="8">
        <v>82516</v>
      </c>
      <c r="O238" s="9"/>
      <c r="P238" s="9"/>
      <c r="Q238" s="9"/>
      <c r="R238" s="9"/>
      <c r="S238" s="505">
        <v>0</v>
      </c>
    </row>
    <row r="239" spans="1:19" s="143" customFormat="1" ht="39" customHeight="1">
      <c r="A239" s="584"/>
      <c r="B239" s="284"/>
      <c r="C239" s="518"/>
      <c r="D239" s="522"/>
      <c r="E239" s="522"/>
      <c r="F239" s="522"/>
      <c r="G239" s="523"/>
      <c r="H239" s="509"/>
      <c r="I239" s="467"/>
      <c r="J239" s="467"/>
      <c r="K239" s="453"/>
      <c r="L239" s="467"/>
      <c r="M239" s="41" t="s">
        <v>299</v>
      </c>
      <c r="N239" s="10"/>
      <c r="O239" s="10"/>
      <c r="P239" s="10"/>
      <c r="Q239" s="10"/>
      <c r="R239" s="10"/>
      <c r="S239" s="506"/>
    </row>
    <row r="240" spans="1:19" s="143" customFormat="1" ht="39" customHeight="1">
      <c r="A240" s="584"/>
      <c r="B240" s="284"/>
      <c r="C240" s="518"/>
      <c r="D240" s="522"/>
      <c r="E240" s="522"/>
      <c r="F240" s="522"/>
      <c r="G240" s="523"/>
      <c r="H240" s="509"/>
      <c r="I240" s="467"/>
      <c r="J240" s="467"/>
      <c r="K240" s="453"/>
      <c r="L240" s="467"/>
      <c r="M240" s="41" t="s">
        <v>300</v>
      </c>
      <c r="N240" s="11">
        <v>14562</v>
      </c>
      <c r="O240" s="10"/>
      <c r="P240" s="10"/>
      <c r="Q240" s="10"/>
      <c r="R240" s="10"/>
      <c r="S240" s="506"/>
    </row>
    <row r="241" spans="1:19" s="143" customFormat="1" ht="39" customHeight="1" thickBot="1">
      <c r="A241" s="585"/>
      <c r="B241" s="284"/>
      <c r="C241" s="519"/>
      <c r="D241" s="524"/>
      <c r="E241" s="524"/>
      <c r="F241" s="524"/>
      <c r="G241" s="525"/>
      <c r="H241" s="510"/>
      <c r="I241" s="469"/>
      <c r="J241" s="469"/>
      <c r="K241" s="454"/>
      <c r="L241" s="469"/>
      <c r="M241" s="282" t="s">
        <v>301</v>
      </c>
      <c r="N241" s="20">
        <f>SUM(N238:N240)</f>
        <v>97078</v>
      </c>
      <c r="O241" s="283">
        <f>SUM(O238:O240)</f>
        <v>0</v>
      </c>
      <c r="P241" s="283">
        <f>SUM(P238:P240)</f>
        <v>0</v>
      </c>
      <c r="Q241" s="283">
        <f>SUM(Q238:Q240)</f>
        <v>0</v>
      </c>
      <c r="R241" s="283">
        <f>SUM(R238:R240)</f>
        <v>0</v>
      </c>
      <c r="S241" s="507"/>
    </row>
    <row r="242" spans="1:19" s="37" customFormat="1" ht="20.25" customHeight="1" thickBot="1">
      <c r="A242" s="196"/>
      <c r="B242" s="105"/>
      <c r="C242" s="197" t="s">
        <v>366</v>
      </c>
      <c r="D242" s="196"/>
      <c r="E242" s="196"/>
      <c r="F242" s="196"/>
      <c r="G242" s="196"/>
      <c r="H242" s="196"/>
      <c r="I242" s="196"/>
      <c r="J242" s="196"/>
      <c r="K242" s="207"/>
      <c r="L242" s="196"/>
      <c r="M242" s="196"/>
      <c r="N242" s="196"/>
      <c r="O242" s="196"/>
      <c r="P242" s="196"/>
      <c r="Q242" s="196"/>
      <c r="R242" s="196"/>
      <c r="S242" s="198"/>
    </row>
    <row r="243" spans="1:19" s="143" customFormat="1" ht="15" customHeight="1">
      <c r="A243" s="586">
        <v>80195</v>
      </c>
      <c r="B243" s="284"/>
      <c r="C243" s="517"/>
      <c r="D243" s="520" t="s">
        <v>367</v>
      </c>
      <c r="E243" s="520"/>
      <c r="F243" s="520"/>
      <c r="G243" s="521"/>
      <c r="H243" s="467" t="s">
        <v>368</v>
      </c>
      <c r="I243" s="508" t="s">
        <v>369</v>
      </c>
      <c r="J243" s="467" t="s">
        <v>370</v>
      </c>
      <c r="K243" s="588">
        <f>5364247+233111-6000</f>
        <v>5591358</v>
      </c>
      <c r="L243" s="467" t="s">
        <v>297</v>
      </c>
      <c r="M243" s="281" t="s">
        <v>298</v>
      </c>
      <c r="N243" s="44">
        <v>2555250</v>
      </c>
      <c r="O243" s="45">
        <v>1368475</v>
      </c>
      <c r="P243" s="45">
        <v>630785</v>
      </c>
      <c r="Q243" s="45"/>
      <c r="R243" s="45"/>
      <c r="S243" s="505">
        <v>5591358</v>
      </c>
    </row>
    <row r="244" spans="1:19" s="143" customFormat="1" ht="15" customHeight="1">
      <c r="A244" s="586"/>
      <c r="B244" s="284"/>
      <c r="C244" s="518"/>
      <c r="D244" s="522"/>
      <c r="E244" s="522"/>
      <c r="F244" s="522"/>
      <c r="G244" s="523"/>
      <c r="H244" s="509"/>
      <c r="I244" s="467"/>
      <c r="J244" s="467"/>
      <c r="K244" s="588"/>
      <c r="L244" s="467"/>
      <c r="M244" s="61" t="s">
        <v>299</v>
      </c>
      <c r="N244" s="46">
        <v>450927</v>
      </c>
      <c r="O244" s="46">
        <v>241495</v>
      </c>
      <c r="P244" s="46">
        <v>111315</v>
      </c>
      <c r="Q244" s="46"/>
      <c r="R244" s="46"/>
      <c r="S244" s="506"/>
    </row>
    <row r="245" spans="1:19" s="143" customFormat="1" ht="29.25" customHeight="1">
      <c r="A245" s="586"/>
      <c r="B245" s="284"/>
      <c r="C245" s="518"/>
      <c r="D245" s="522"/>
      <c r="E245" s="522"/>
      <c r="F245" s="522"/>
      <c r="G245" s="523"/>
      <c r="H245" s="509"/>
      <c r="I245" s="467"/>
      <c r="J245" s="467"/>
      <c r="K245" s="588"/>
      <c r="L245" s="467"/>
      <c r="M245" s="61" t="s">
        <v>446</v>
      </c>
      <c r="N245" s="47">
        <v>79056</v>
      </c>
      <c r="O245" s="46">
        <v>84768</v>
      </c>
      <c r="P245" s="46">
        <v>69287</v>
      </c>
      <c r="Q245" s="46"/>
      <c r="R245" s="46"/>
      <c r="S245" s="506"/>
    </row>
    <row r="246" spans="1:19" s="143" customFormat="1" ht="15" customHeight="1" thickBot="1">
      <c r="A246" s="587"/>
      <c r="B246" s="284"/>
      <c r="C246" s="519"/>
      <c r="D246" s="524"/>
      <c r="E246" s="524"/>
      <c r="F246" s="524"/>
      <c r="G246" s="525"/>
      <c r="H246" s="510"/>
      <c r="I246" s="469"/>
      <c r="J246" s="469"/>
      <c r="K246" s="589"/>
      <c r="L246" s="469"/>
      <c r="M246" s="285" t="s">
        <v>301</v>
      </c>
      <c r="N246" s="297">
        <f>SUM(N243:N245)</f>
        <v>3085233</v>
      </c>
      <c r="O246" s="286">
        <f>SUM(O243:O245)</f>
        <v>1694738</v>
      </c>
      <c r="P246" s="286">
        <f>SUM(P243:P245)</f>
        <v>811387</v>
      </c>
      <c r="Q246" s="286">
        <f>SUM(Q243:Q245)</f>
        <v>0</v>
      </c>
      <c r="R246" s="286">
        <f>SUM(R243:R245)</f>
        <v>0</v>
      </c>
      <c r="S246" s="507"/>
    </row>
    <row r="247" spans="1:19" s="37" customFormat="1" ht="20.25" customHeight="1" thickBot="1">
      <c r="A247" s="196"/>
      <c r="B247" s="105"/>
      <c r="C247" s="197" t="s">
        <v>371</v>
      </c>
      <c r="D247" s="196"/>
      <c r="E247" s="196"/>
      <c r="F247" s="196"/>
      <c r="G247" s="196"/>
      <c r="H247" s="196"/>
      <c r="I247" s="196"/>
      <c r="J247" s="196"/>
      <c r="K247" s="207"/>
      <c r="L247" s="196"/>
      <c r="M247" s="196"/>
      <c r="N247" s="196"/>
      <c r="O247" s="196"/>
      <c r="P247" s="196"/>
      <c r="Q247" s="196"/>
      <c r="R247" s="196"/>
      <c r="S247" s="198"/>
    </row>
    <row r="248" spans="1:19" s="143" customFormat="1" ht="27.75" customHeight="1">
      <c r="A248" s="584">
        <v>80134</v>
      </c>
      <c r="B248" s="284"/>
      <c r="C248" s="517"/>
      <c r="D248" s="520" t="s">
        <v>433</v>
      </c>
      <c r="E248" s="520"/>
      <c r="F248" s="520"/>
      <c r="G248" s="521"/>
      <c r="H248" s="467" t="s">
        <v>372</v>
      </c>
      <c r="I248" s="508" t="s">
        <v>373</v>
      </c>
      <c r="J248" s="467" t="s">
        <v>347</v>
      </c>
      <c r="K248" s="453">
        <v>268805</v>
      </c>
      <c r="L248" s="467" t="s">
        <v>297</v>
      </c>
      <c r="M248" s="142" t="s">
        <v>298</v>
      </c>
      <c r="N248" s="8">
        <v>132099</v>
      </c>
      <c r="O248" s="9"/>
      <c r="P248" s="9"/>
      <c r="Q248" s="9"/>
      <c r="R248" s="9"/>
      <c r="S248" s="505">
        <v>0</v>
      </c>
    </row>
    <row r="249" spans="1:19" s="143" customFormat="1" ht="27.75" customHeight="1">
      <c r="A249" s="584"/>
      <c r="B249" s="284"/>
      <c r="C249" s="518"/>
      <c r="D249" s="522"/>
      <c r="E249" s="522"/>
      <c r="F249" s="522"/>
      <c r="G249" s="523"/>
      <c r="H249" s="509"/>
      <c r="I249" s="467"/>
      <c r="J249" s="467"/>
      <c r="K249" s="453"/>
      <c r="L249" s="467"/>
      <c r="M249" s="41" t="s">
        <v>299</v>
      </c>
      <c r="N249" s="10">
        <v>23311</v>
      </c>
      <c r="O249" s="10"/>
      <c r="P249" s="10"/>
      <c r="Q249" s="10"/>
      <c r="R249" s="10"/>
      <c r="S249" s="506"/>
    </row>
    <row r="250" spans="1:19" s="143" customFormat="1" ht="27.75" customHeight="1">
      <c r="A250" s="584"/>
      <c r="B250" s="284"/>
      <c r="C250" s="518"/>
      <c r="D250" s="522"/>
      <c r="E250" s="522"/>
      <c r="F250" s="522"/>
      <c r="G250" s="523"/>
      <c r="H250" s="509"/>
      <c r="I250" s="467"/>
      <c r="J250" s="467"/>
      <c r="K250" s="453"/>
      <c r="L250" s="467"/>
      <c r="M250" s="41" t="s">
        <v>300</v>
      </c>
      <c r="N250" s="11"/>
      <c r="O250" s="10"/>
      <c r="P250" s="10"/>
      <c r="Q250" s="10"/>
      <c r="R250" s="10"/>
      <c r="S250" s="506"/>
    </row>
    <row r="251" spans="1:19" s="143" customFormat="1" ht="27.75" customHeight="1" thickBot="1">
      <c r="A251" s="585"/>
      <c r="B251" s="284"/>
      <c r="C251" s="519"/>
      <c r="D251" s="524"/>
      <c r="E251" s="524"/>
      <c r="F251" s="524"/>
      <c r="G251" s="525"/>
      <c r="H251" s="510"/>
      <c r="I251" s="469"/>
      <c r="J251" s="469"/>
      <c r="K251" s="454"/>
      <c r="L251" s="469"/>
      <c r="M251" s="282" t="s">
        <v>301</v>
      </c>
      <c r="N251" s="20">
        <f>SUM(N248:N250)</f>
        <v>155410</v>
      </c>
      <c r="O251" s="283">
        <f>SUM(O248:O250)</f>
        <v>0</v>
      </c>
      <c r="P251" s="283">
        <f>SUM(P248:P250)</f>
        <v>0</v>
      </c>
      <c r="Q251" s="283">
        <f>SUM(Q248:Q250)</f>
        <v>0</v>
      </c>
      <c r="R251" s="283">
        <f>SUM(R248:R250)</f>
        <v>0</v>
      </c>
      <c r="S251" s="507"/>
    </row>
    <row r="252" spans="1:19" s="37" customFormat="1" ht="20.25" customHeight="1" thickBot="1">
      <c r="A252" s="196"/>
      <c r="B252" s="105"/>
      <c r="C252" s="197" t="s">
        <v>374</v>
      </c>
      <c r="D252" s="196"/>
      <c r="E252" s="196"/>
      <c r="F252" s="196"/>
      <c r="G252" s="196"/>
      <c r="H252" s="196"/>
      <c r="I252" s="196"/>
      <c r="J252" s="196"/>
      <c r="K252" s="207"/>
      <c r="L252" s="196"/>
      <c r="M252" s="196"/>
      <c r="N252" s="196"/>
      <c r="O252" s="196"/>
      <c r="P252" s="196"/>
      <c r="Q252" s="196"/>
      <c r="R252" s="196"/>
      <c r="S252" s="198"/>
    </row>
    <row r="253" spans="1:19" s="143" customFormat="1" ht="23.25" customHeight="1">
      <c r="A253" s="584">
        <v>80134</v>
      </c>
      <c r="B253" s="284"/>
      <c r="C253" s="517"/>
      <c r="D253" s="520" t="s">
        <v>142</v>
      </c>
      <c r="E253" s="520"/>
      <c r="F253" s="520"/>
      <c r="G253" s="521"/>
      <c r="H253" s="467" t="s">
        <v>372</v>
      </c>
      <c r="I253" s="508" t="s">
        <v>373</v>
      </c>
      <c r="J253" s="467" t="s">
        <v>347</v>
      </c>
      <c r="K253" s="453">
        <v>191852</v>
      </c>
      <c r="L253" s="467" t="s">
        <v>297</v>
      </c>
      <c r="M253" s="142" t="s">
        <v>298</v>
      </c>
      <c r="N253" s="8">
        <v>102164</v>
      </c>
      <c r="O253" s="9"/>
      <c r="P253" s="9"/>
      <c r="Q253" s="9"/>
      <c r="R253" s="9"/>
      <c r="S253" s="505">
        <v>0</v>
      </c>
    </row>
    <row r="254" spans="1:19" s="143" customFormat="1" ht="23.25" customHeight="1">
      <c r="A254" s="584"/>
      <c r="B254" s="284"/>
      <c r="C254" s="518"/>
      <c r="D254" s="522"/>
      <c r="E254" s="522"/>
      <c r="F254" s="522"/>
      <c r="G254" s="523"/>
      <c r="H254" s="509"/>
      <c r="I254" s="467"/>
      <c r="J254" s="467"/>
      <c r="K254" s="453"/>
      <c r="L254" s="467"/>
      <c r="M254" s="41" t="s">
        <v>299</v>
      </c>
      <c r="N254" s="10">
        <v>18029</v>
      </c>
      <c r="O254" s="10"/>
      <c r="P254" s="10"/>
      <c r="Q254" s="10"/>
      <c r="R254" s="10"/>
      <c r="S254" s="506"/>
    </row>
    <row r="255" spans="1:19" s="143" customFormat="1" ht="23.25" customHeight="1">
      <c r="A255" s="584"/>
      <c r="B255" s="284"/>
      <c r="C255" s="518"/>
      <c r="D255" s="522"/>
      <c r="E255" s="522"/>
      <c r="F255" s="522"/>
      <c r="G255" s="523"/>
      <c r="H255" s="509"/>
      <c r="I255" s="467"/>
      <c r="J255" s="467"/>
      <c r="K255" s="453"/>
      <c r="L255" s="467"/>
      <c r="M255" s="41" t="s">
        <v>300</v>
      </c>
      <c r="N255" s="11"/>
      <c r="O255" s="10"/>
      <c r="P255" s="10"/>
      <c r="Q255" s="10"/>
      <c r="R255" s="10"/>
      <c r="S255" s="506"/>
    </row>
    <row r="256" spans="1:19" s="143" customFormat="1" ht="23.25" customHeight="1" thickBot="1">
      <c r="A256" s="585"/>
      <c r="B256" s="284"/>
      <c r="C256" s="519"/>
      <c r="D256" s="524"/>
      <c r="E256" s="524"/>
      <c r="F256" s="524"/>
      <c r="G256" s="525"/>
      <c r="H256" s="510"/>
      <c r="I256" s="469"/>
      <c r="J256" s="469"/>
      <c r="K256" s="454"/>
      <c r="L256" s="469"/>
      <c r="M256" s="282" t="s">
        <v>301</v>
      </c>
      <c r="N256" s="20">
        <f>SUM(N253:N255)</f>
        <v>120193</v>
      </c>
      <c r="O256" s="283">
        <f>SUM(O253:O255)</f>
        <v>0</v>
      </c>
      <c r="P256" s="283">
        <f>SUM(P253:P255)</f>
        <v>0</v>
      </c>
      <c r="Q256" s="283">
        <f>SUM(Q253:Q255)</f>
        <v>0</v>
      </c>
      <c r="R256" s="283">
        <f>SUM(R253:R255)</f>
        <v>0</v>
      </c>
      <c r="S256" s="507"/>
    </row>
    <row r="257" spans="1:19" s="37" customFormat="1" ht="20.25" customHeight="1" thickBot="1">
      <c r="A257" s="196"/>
      <c r="B257" s="105"/>
      <c r="C257" s="197" t="s">
        <v>375</v>
      </c>
      <c r="D257" s="196"/>
      <c r="E257" s="196"/>
      <c r="F257" s="196"/>
      <c r="G257" s="196"/>
      <c r="H257" s="196"/>
      <c r="I257" s="196"/>
      <c r="J257" s="196"/>
      <c r="K257" s="207"/>
      <c r="L257" s="196"/>
      <c r="M257" s="196"/>
      <c r="N257" s="196"/>
      <c r="O257" s="196"/>
      <c r="P257" s="196"/>
      <c r="Q257" s="196"/>
      <c r="R257" s="196"/>
      <c r="S257" s="198"/>
    </row>
    <row r="258" spans="1:19" s="143" customFormat="1" ht="17.25" customHeight="1">
      <c r="A258" s="584">
        <v>80120</v>
      </c>
      <c r="B258" s="284"/>
      <c r="C258" s="517"/>
      <c r="D258" s="520" t="s">
        <v>376</v>
      </c>
      <c r="E258" s="520"/>
      <c r="F258" s="520"/>
      <c r="G258" s="521"/>
      <c r="H258" s="467" t="s">
        <v>368</v>
      </c>
      <c r="I258" s="508" t="s">
        <v>377</v>
      </c>
      <c r="J258" s="467" t="s">
        <v>347</v>
      </c>
      <c r="K258" s="453">
        <v>247831</v>
      </c>
      <c r="L258" s="467" t="s">
        <v>297</v>
      </c>
      <c r="M258" s="142" t="s">
        <v>298</v>
      </c>
      <c r="N258" s="8">
        <v>88174</v>
      </c>
      <c r="O258" s="9"/>
      <c r="P258" s="9"/>
      <c r="Q258" s="9"/>
      <c r="R258" s="9"/>
      <c r="S258" s="505">
        <v>0</v>
      </c>
    </row>
    <row r="259" spans="1:19" s="143" customFormat="1" ht="17.25" customHeight="1">
      <c r="A259" s="584"/>
      <c r="B259" s="284"/>
      <c r="C259" s="518"/>
      <c r="D259" s="522"/>
      <c r="E259" s="522"/>
      <c r="F259" s="522"/>
      <c r="G259" s="523"/>
      <c r="H259" s="509"/>
      <c r="I259" s="467"/>
      <c r="J259" s="467"/>
      <c r="K259" s="453"/>
      <c r="L259" s="467"/>
      <c r="M259" s="41" t="s">
        <v>299</v>
      </c>
      <c r="N259" s="10">
        <v>15560</v>
      </c>
      <c r="O259" s="10"/>
      <c r="P259" s="10"/>
      <c r="Q259" s="10"/>
      <c r="R259" s="10"/>
      <c r="S259" s="506"/>
    </row>
    <row r="260" spans="1:19" s="143" customFormat="1" ht="17.25" customHeight="1">
      <c r="A260" s="584"/>
      <c r="B260" s="284"/>
      <c r="C260" s="518"/>
      <c r="D260" s="522"/>
      <c r="E260" s="522"/>
      <c r="F260" s="522"/>
      <c r="G260" s="523"/>
      <c r="H260" s="509"/>
      <c r="I260" s="467"/>
      <c r="J260" s="467"/>
      <c r="K260" s="453"/>
      <c r="L260" s="467"/>
      <c r="M260" s="41" t="s">
        <v>300</v>
      </c>
      <c r="N260" s="11"/>
      <c r="O260" s="10"/>
      <c r="P260" s="10"/>
      <c r="Q260" s="10"/>
      <c r="R260" s="10"/>
      <c r="S260" s="506"/>
    </row>
    <row r="261" spans="1:19" s="143" customFormat="1" ht="17.25" customHeight="1" thickBot="1">
      <c r="A261" s="585"/>
      <c r="B261" s="284"/>
      <c r="C261" s="519"/>
      <c r="D261" s="524"/>
      <c r="E261" s="524"/>
      <c r="F261" s="524"/>
      <c r="G261" s="525"/>
      <c r="H261" s="510"/>
      <c r="I261" s="469"/>
      <c r="J261" s="469"/>
      <c r="K261" s="454"/>
      <c r="L261" s="469"/>
      <c r="M261" s="282" t="s">
        <v>301</v>
      </c>
      <c r="N261" s="20">
        <f>SUM(N258:N260)</f>
        <v>103734</v>
      </c>
      <c r="O261" s="283">
        <f>SUM(O258:O260)</f>
        <v>0</v>
      </c>
      <c r="P261" s="283">
        <f>SUM(P258:P260)</f>
        <v>0</v>
      </c>
      <c r="Q261" s="283">
        <f>SUM(Q258:Q260)</f>
        <v>0</v>
      </c>
      <c r="R261" s="283">
        <f>SUM(R258:R260)</f>
        <v>0</v>
      </c>
      <c r="S261" s="507"/>
    </row>
    <row r="262" spans="1:19" s="37" customFormat="1" ht="20.25" customHeight="1" thickBot="1">
      <c r="A262" s="196"/>
      <c r="B262" s="105"/>
      <c r="C262" s="197" t="s">
        <v>378</v>
      </c>
      <c r="D262" s="196"/>
      <c r="E262" s="196"/>
      <c r="F262" s="196"/>
      <c r="G262" s="196"/>
      <c r="H262" s="196"/>
      <c r="I262" s="196"/>
      <c r="J262" s="196"/>
      <c r="K262" s="207"/>
      <c r="L262" s="196"/>
      <c r="M262" s="196"/>
      <c r="N262" s="196"/>
      <c r="O262" s="196"/>
      <c r="P262" s="196"/>
      <c r="Q262" s="196"/>
      <c r="R262" s="196"/>
      <c r="S262" s="198"/>
    </row>
    <row r="263" spans="1:19" s="143" customFormat="1" ht="26.25" customHeight="1">
      <c r="A263" s="584">
        <v>80120</v>
      </c>
      <c r="B263" s="284"/>
      <c r="C263" s="517"/>
      <c r="D263" s="520" t="s">
        <v>143</v>
      </c>
      <c r="E263" s="520"/>
      <c r="F263" s="520"/>
      <c r="G263" s="521"/>
      <c r="H263" s="467" t="s">
        <v>368</v>
      </c>
      <c r="I263" s="508" t="s">
        <v>379</v>
      </c>
      <c r="J263" s="467" t="s">
        <v>313</v>
      </c>
      <c r="K263" s="453">
        <v>748724</v>
      </c>
      <c r="L263" s="467" t="s">
        <v>297</v>
      </c>
      <c r="M263" s="142" t="s">
        <v>298</v>
      </c>
      <c r="N263" s="8">
        <v>244268</v>
      </c>
      <c r="O263" s="9">
        <v>171275</v>
      </c>
      <c r="P263" s="9"/>
      <c r="Q263" s="9"/>
      <c r="R263" s="9"/>
      <c r="S263" s="505">
        <v>0</v>
      </c>
    </row>
    <row r="264" spans="1:19" s="143" customFormat="1" ht="26.25" customHeight="1">
      <c r="A264" s="584"/>
      <c r="B264" s="284"/>
      <c r="C264" s="518"/>
      <c r="D264" s="522"/>
      <c r="E264" s="522"/>
      <c r="F264" s="522"/>
      <c r="G264" s="523"/>
      <c r="H264" s="509"/>
      <c r="I264" s="467"/>
      <c r="J264" s="467"/>
      <c r="K264" s="453"/>
      <c r="L264" s="467"/>
      <c r="M264" s="41" t="s">
        <v>299</v>
      </c>
      <c r="N264" s="10">
        <v>43106</v>
      </c>
      <c r="O264" s="10">
        <v>30226</v>
      </c>
      <c r="P264" s="10"/>
      <c r="Q264" s="10"/>
      <c r="R264" s="10"/>
      <c r="S264" s="506"/>
    </row>
    <row r="265" spans="1:19" s="143" customFormat="1" ht="26.25" customHeight="1">
      <c r="A265" s="584"/>
      <c r="B265" s="284"/>
      <c r="C265" s="518"/>
      <c r="D265" s="522"/>
      <c r="E265" s="522"/>
      <c r="F265" s="522"/>
      <c r="G265" s="523"/>
      <c r="H265" s="509"/>
      <c r="I265" s="467"/>
      <c r="J265" s="467"/>
      <c r="K265" s="453"/>
      <c r="L265" s="467"/>
      <c r="M265" s="41" t="s">
        <v>300</v>
      </c>
      <c r="N265" s="11"/>
      <c r="O265" s="10"/>
      <c r="P265" s="10"/>
      <c r="Q265" s="10"/>
      <c r="R265" s="10"/>
      <c r="S265" s="506"/>
    </row>
    <row r="266" spans="1:19" s="143" customFormat="1" ht="26.25" customHeight="1" thickBot="1">
      <c r="A266" s="585"/>
      <c r="B266" s="284"/>
      <c r="C266" s="519"/>
      <c r="D266" s="524"/>
      <c r="E266" s="524"/>
      <c r="F266" s="524"/>
      <c r="G266" s="525"/>
      <c r="H266" s="510"/>
      <c r="I266" s="469"/>
      <c r="J266" s="469"/>
      <c r="K266" s="454"/>
      <c r="L266" s="469"/>
      <c r="M266" s="282" t="s">
        <v>301</v>
      </c>
      <c r="N266" s="20">
        <f>SUM(N263:N265)</f>
        <v>287374</v>
      </c>
      <c r="O266" s="283">
        <f>SUM(O263:O265)</f>
        <v>201501</v>
      </c>
      <c r="P266" s="283">
        <f>SUM(P263:P265)</f>
        <v>0</v>
      </c>
      <c r="Q266" s="283">
        <f>SUM(Q263:Q265)</f>
        <v>0</v>
      </c>
      <c r="R266" s="283">
        <f>SUM(R263:R265)</f>
        <v>0</v>
      </c>
      <c r="S266" s="507"/>
    </row>
    <row r="267" spans="1:19" s="37" customFormat="1" ht="20.25" customHeight="1" thickBot="1">
      <c r="A267" s="196"/>
      <c r="B267" s="105"/>
      <c r="C267" s="197" t="s">
        <v>380</v>
      </c>
      <c r="D267" s="196"/>
      <c r="E267" s="196"/>
      <c r="F267" s="196"/>
      <c r="G267" s="196"/>
      <c r="H267" s="196"/>
      <c r="I267" s="196"/>
      <c r="J267" s="196"/>
      <c r="K267" s="207"/>
      <c r="L267" s="196"/>
      <c r="M267" s="196"/>
      <c r="N267" s="196"/>
      <c r="O267" s="196"/>
      <c r="P267" s="196"/>
      <c r="Q267" s="196"/>
      <c r="R267" s="196"/>
      <c r="S267" s="198"/>
    </row>
    <row r="268" spans="1:19" s="143" customFormat="1" ht="15" customHeight="1">
      <c r="A268" s="584">
        <v>80110</v>
      </c>
      <c r="B268" s="284"/>
      <c r="C268" s="517"/>
      <c r="D268" s="520" t="s">
        <v>381</v>
      </c>
      <c r="E268" s="520"/>
      <c r="F268" s="520"/>
      <c r="G268" s="521"/>
      <c r="H268" s="467" t="s">
        <v>372</v>
      </c>
      <c r="I268" s="508" t="s">
        <v>382</v>
      </c>
      <c r="J268" s="467" t="s">
        <v>313</v>
      </c>
      <c r="K268" s="453">
        <v>804204</v>
      </c>
      <c r="L268" s="467" t="s">
        <v>297</v>
      </c>
      <c r="M268" s="142" t="s">
        <v>298</v>
      </c>
      <c r="N268" s="8">
        <v>361540</v>
      </c>
      <c r="O268" s="9">
        <v>178771</v>
      </c>
      <c r="P268" s="9"/>
      <c r="Q268" s="9"/>
      <c r="R268" s="9"/>
      <c r="S268" s="505">
        <v>0</v>
      </c>
    </row>
    <row r="269" spans="1:19" s="143" customFormat="1" ht="15" customHeight="1">
      <c r="A269" s="584"/>
      <c r="B269" s="284"/>
      <c r="C269" s="518"/>
      <c r="D269" s="522"/>
      <c r="E269" s="522"/>
      <c r="F269" s="522"/>
      <c r="G269" s="523"/>
      <c r="H269" s="509"/>
      <c r="I269" s="467"/>
      <c r="J269" s="467"/>
      <c r="K269" s="453"/>
      <c r="L269" s="467"/>
      <c r="M269" s="41" t="s">
        <v>299</v>
      </c>
      <c r="N269" s="10">
        <v>63802</v>
      </c>
      <c r="O269" s="10">
        <v>31549</v>
      </c>
      <c r="P269" s="10"/>
      <c r="Q269" s="10"/>
      <c r="R269" s="10"/>
      <c r="S269" s="506"/>
    </row>
    <row r="270" spans="1:19" s="143" customFormat="1" ht="15" customHeight="1">
      <c r="A270" s="584"/>
      <c r="B270" s="284"/>
      <c r="C270" s="518"/>
      <c r="D270" s="522"/>
      <c r="E270" s="522"/>
      <c r="F270" s="522"/>
      <c r="G270" s="523"/>
      <c r="H270" s="509"/>
      <c r="I270" s="467"/>
      <c r="J270" s="467"/>
      <c r="K270" s="453"/>
      <c r="L270" s="467"/>
      <c r="M270" s="41" t="s">
        <v>300</v>
      </c>
      <c r="N270" s="11"/>
      <c r="O270" s="10"/>
      <c r="P270" s="10"/>
      <c r="Q270" s="10"/>
      <c r="R270" s="10"/>
      <c r="S270" s="506"/>
    </row>
    <row r="271" spans="1:19" s="143" customFormat="1" ht="15" customHeight="1" thickBot="1">
      <c r="A271" s="585"/>
      <c r="B271" s="284"/>
      <c r="C271" s="519"/>
      <c r="D271" s="524"/>
      <c r="E271" s="524"/>
      <c r="F271" s="524"/>
      <c r="G271" s="525"/>
      <c r="H271" s="510"/>
      <c r="I271" s="469"/>
      <c r="J271" s="469"/>
      <c r="K271" s="454"/>
      <c r="L271" s="469"/>
      <c r="M271" s="282" t="s">
        <v>301</v>
      </c>
      <c r="N271" s="20">
        <f>SUM(N268:N270)</f>
        <v>425342</v>
      </c>
      <c r="O271" s="283">
        <f>SUM(O268:O270)</f>
        <v>210320</v>
      </c>
      <c r="P271" s="283">
        <f>SUM(P268:P270)</f>
        <v>0</v>
      </c>
      <c r="Q271" s="283">
        <f>SUM(Q268:Q270)</f>
        <v>0</v>
      </c>
      <c r="R271" s="283">
        <f>SUM(R268:R270)</f>
        <v>0</v>
      </c>
      <c r="S271" s="507"/>
    </row>
    <row r="272" spans="1:19" s="37" customFormat="1" ht="22.5" customHeight="1" thickBot="1">
      <c r="A272" s="196"/>
      <c r="B272" s="105"/>
      <c r="C272" s="197" t="s">
        <v>383</v>
      </c>
      <c r="D272" s="196"/>
      <c r="E272" s="196"/>
      <c r="F272" s="196"/>
      <c r="G272" s="196"/>
      <c r="H272" s="196"/>
      <c r="I272" s="196"/>
      <c r="J272" s="196"/>
      <c r="K272" s="207"/>
      <c r="L272" s="196"/>
      <c r="M272" s="196"/>
      <c r="N272" s="196"/>
      <c r="O272" s="196"/>
      <c r="P272" s="196"/>
      <c r="Q272" s="196"/>
      <c r="R272" s="196"/>
      <c r="S272" s="198"/>
    </row>
    <row r="273" spans="1:19" s="143" customFormat="1" ht="22.5" customHeight="1">
      <c r="A273" s="584" t="s">
        <v>384</v>
      </c>
      <c r="B273" s="284"/>
      <c r="C273" s="517"/>
      <c r="D273" s="520" t="s">
        <v>385</v>
      </c>
      <c r="E273" s="520"/>
      <c r="F273" s="520"/>
      <c r="G273" s="521"/>
      <c r="H273" s="508" t="s">
        <v>386</v>
      </c>
      <c r="I273" s="508" t="s">
        <v>295</v>
      </c>
      <c r="J273" s="467" t="s">
        <v>313</v>
      </c>
      <c r="K273" s="453">
        <f>1839063+4814</f>
        <v>1843877</v>
      </c>
      <c r="L273" s="467" t="s">
        <v>297</v>
      </c>
      <c r="M273" s="142" t="s">
        <v>298</v>
      </c>
      <c r="N273" s="8">
        <f>470506+4814</f>
        <v>475320</v>
      </c>
      <c r="O273" s="9">
        <v>93007</v>
      </c>
      <c r="P273" s="9"/>
      <c r="Q273" s="9"/>
      <c r="R273" s="9"/>
      <c r="S273" s="505">
        <v>0</v>
      </c>
    </row>
    <row r="274" spans="1:19" s="143" customFormat="1" ht="22.5" customHeight="1" hidden="1">
      <c r="A274" s="584"/>
      <c r="B274" s="284"/>
      <c r="C274" s="518"/>
      <c r="D274" s="522"/>
      <c r="E274" s="522"/>
      <c r="F274" s="522"/>
      <c r="G274" s="523"/>
      <c r="H274" s="467"/>
      <c r="I274" s="467"/>
      <c r="J274" s="467"/>
      <c r="K274" s="453"/>
      <c r="L274" s="467"/>
      <c r="M274" s="41" t="s">
        <v>299</v>
      </c>
      <c r="N274" s="10"/>
      <c r="O274" s="10"/>
      <c r="P274" s="10"/>
      <c r="Q274" s="10"/>
      <c r="R274" s="10"/>
      <c r="S274" s="506"/>
    </row>
    <row r="275" spans="1:19" s="143" customFormat="1" ht="22.5" customHeight="1" hidden="1">
      <c r="A275" s="584"/>
      <c r="B275" s="284"/>
      <c r="C275" s="518"/>
      <c r="D275" s="522"/>
      <c r="E275" s="522"/>
      <c r="F275" s="522"/>
      <c r="G275" s="523"/>
      <c r="H275" s="467"/>
      <c r="I275" s="467"/>
      <c r="J275" s="467"/>
      <c r="K275" s="453"/>
      <c r="L275" s="467"/>
      <c r="M275" s="41" t="s">
        <v>300</v>
      </c>
      <c r="N275" s="11"/>
      <c r="O275" s="10"/>
      <c r="P275" s="10"/>
      <c r="Q275" s="10"/>
      <c r="R275" s="10"/>
      <c r="S275" s="506"/>
    </row>
    <row r="276" spans="1:19" s="143" customFormat="1" ht="25.5" customHeight="1" thickBot="1">
      <c r="A276" s="585"/>
      <c r="B276" s="284"/>
      <c r="C276" s="519"/>
      <c r="D276" s="524"/>
      <c r="E276" s="524"/>
      <c r="F276" s="524"/>
      <c r="G276" s="525"/>
      <c r="H276" s="469"/>
      <c r="I276" s="469"/>
      <c r="J276" s="469"/>
      <c r="K276" s="454"/>
      <c r="L276" s="469"/>
      <c r="M276" s="282" t="s">
        <v>301</v>
      </c>
      <c r="N276" s="20">
        <f>SUM(N273:N275)</f>
        <v>475320</v>
      </c>
      <c r="O276" s="283">
        <f>SUM(O273:O275)</f>
        <v>93007</v>
      </c>
      <c r="P276" s="283">
        <f>SUM(P273:P275)</f>
        <v>0</v>
      </c>
      <c r="Q276" s="283">
        <f>SUM(Q273:Q275)</f>
        <v>0</v>
      </c>
      <c r="R276" s="283">
        <f>SUM(R273:R275)</f>
        <v>0</v>
      </c>
      <c r="S276" s="507"/>
    </row>
    <row r="277" spans="1:19" s="37" customFormat="1" ht="20.25" customHeight="1" thickBot="1">
      <c r="A277" s="196"/>
      <c r="B277" s="105"/>
      <c r="C277" s="197" t="s">
        <v>387</v>
      </c>
      <c r="D277" s="196"/>
      <c r="E277" s="196"/>
      <c r="F277" s="196"/>
      <c r="G277" s="196"/>
      <c r="H277" s="196"/>
      <c r="I277" s="196"/>
      <c r="J277" s="196"/>
      <c r="K277" s="207"/>
      <c r="L277" s="196"/>
      <c r="M277" s="196"/>
      <c r="N277" s="196"/>
      <c r="O277" s="196"/>
      <c r="P277" s="196"/>
      <c r="Q277" s="196"/>
      <c r="R277" s="196"/>
      <c r="S277" s="198"/>
    </row>
    <row r="278" spans="1:19" s="143" customFormat="1" ht="15" customHeight="1">
      <c r="A278" s="584">
        <v>80195</v>
      </c>
      <c r="B278" s="284"/>
      <c r="C278" s="517"/>
      <c r="D278" s="520" t="s">
        <v>388</v>
      </c>
      <c r="E278" s="520"/>
      <c r="F278" s="520"/>
      <c r="G278" s="521"/>
      <c r="H278" s="508" t="s">
        <v>386</v>
      </c>
      <c r="I278" s="508" t="s">
        <v>295</v>
      </c>
      <c r="J278" s="467" t="s">
        <v>313</v>
      </c>
      <c r="K278" s="453">
        <v>243903</v>
      </c>
      <c r="L278" s="467" t="s">
        <v>297</v>
      </c>
      <c r="M278" s="142" t="s">
        <v>298</v>
      </c>
      <c r="N278" s="8">
        <v>154938</v>
      </c>
      <c r="O278" s="9">
        <v>21164</v>
      </c>
      <c r="P278" s="9"/>
      <c r="Q278" s="9"/>
      <c r="R278" s="9"/>
      <c r="S278" s="505">
        <v>0</v>
      </c>
    </row>
    <row r="279" spans="1:19" s="143" customFormat="1" ht="15" customHeight="1">
      <c r="A279" s="584"/>
      <c r="B279" s="284"/>
      <c r="C279" s="518"/>
      <c r="D279" s="522"/>
      <c r="E279" s="522"/>
      <c r="F279" s="522"/>
      <c r="G279" s="523"/>
      <c r="H279" s="467"/>
      <c r="I279" s="467"/>
      <c r="J279" s="467"/>
      <c r="K279" s="453"/>
      <c r="L279" s="467"/>
      <c r="M279" s="41" t="s">
        <v>299</v>
      </c>
      <c r="N279" s="10"/>
      <c r="O279" s="10"/>
      <c r="P279" s="10"/>
      <c r="Q279" s="10"/>
      <c r="R279" s="10"/>
      <c r="S279" s="506"/>
    </row>
    <row r="280" spans="1:19" s="143" customFormat="1" ht="15" customHeight="1">
      <c r="A280" s="584"/>
      <c r="B280" s="284"/>
      <c r="C280" s="518"/>
      <c r="D280" s="522"/>
      <c r="E280" s="522"/>
      <c r="F280" s="522"/>
      <c r="G280" s="523"/>
      <c r="H280" s="467"/>
      <c r="I280" s="467"/>
      <c r="J280" s="467"/>
      <c r="K280" s="453"/>
      <c r="L280" s="467"/>
      <c r="M280" s="41" t="s">
        <v>300</v>
      </c>
      <c r="N280" s="11"/>
      <c r="O280" s="10"/>
      <c r="P280" s="10"/>
      <c r="Q280" s="10"/>
      <c r="R280" s="10"/>
      <c r="S280" s="506"/>
    </row>
    <row r="281" spans="1:19" s="143" customFormat="1" ht="15" customHeight="1" thickBot="1">
      <c r="A281" s="585"/>
      <c r="B281" s="284"/>
      <c r="C281" s="519"/>
      <c r="D281" s="524"/>
      <c r="E281" s="524"/>
      <c r="F281" s="524"/>
      <c r="G281" s="525"/>
      <c r="H281" s="469"/>
      <c r="I281" s="469"/>
      <c r="J281" s="469"/>
      <c r="K281" s="454"/>
      <c r="L281" s="469"/>
      <c r="M281" s="282" t="s">
        <v>301</v>
      </c>
      <c r="N281" s="20">
        <f>SUM(N278:N280)</f>
        <v>154938</v>
      </c>
      <c r="O281" s="283">
        <f>SUM(O278:O280)</f>
        <v>21164</v>
      </c>
      <c r="P281" s="283">
        <f>SUM(P278:P280)</f>
        <v>0</v>
      </c>
      <c r="Q281" s="283">
        <f>SUM(Q278:Q280)</f>
        <v>0</v>
      </c>
      <c r="R281" s="283">
        <f>SUM(R278:R280)</f>
        <v>0</v>
      </c>
      <c r="S281" s="507"/>
    </row>
    <row r="282" spans="1:19" s="37" customFormat="1" ht="20.25" customHeight="1" thickBot="1">
      <c r="A282" s="196"/>
      <c r="B282" s="105"/>
      <c r="C282" s="197" t="s">
        <v>137</v>
      </c>
      <c r="D282" s="196"/>
      <c r="E282" s="196"/>
      <c r="F282" s="196"/>
      <c r="G282" s="196"/>
      <c r="H282" s="196"/>
      <c r="I282" s="196"/>
      <c r="J282" s="196"/>
      <c r="K282" s="207"/>
      <c r="L282" s="196"/>
      <c r="M282" s="196"/>
      <c r="N282" s="196"/>
      <c r="O282" s="196"/>
      <c r="P282" s="196"/>
      <c r="Q282" s="196"/>
      <c r="R282" s="196"/>
      <c r="S282" s="198"/>
    </row>
    <row r="283" spans="1:19" s="143" customFormat="1" ht="22.5" customHeight="1">
      <c r="A283" s="584">
        <v>80130</v>
      </c>
      <c r="B283" s="284"/>
      <c r="C283" s="517"/>
      <c r="D283" s="520" t="s">
        <v>389</v>
      </c>
      <c r="E283" s="520"/>
      <c r="F283" s="520"/>
      <c r="G283" s="521"/>
      <c r="H283" s="508" t="s">
        <v>386</v>
      </c>
      <c r="I283" s="508" t="s">
        <v>351</v>
      </c>
      <c r="J283" s="467" t="s">
        <v>313</v>
      </c>
      <c r="K283" s="453">
        <v>101750</v>
      </c>
      <c r="L283" s="467" t="s">
        <v>297</v>
      </c>
      <c r="M283" s="142" t="s">
        <v>298</v>
      </c>
      <c r="N283" s="8">
        <v>50950</v>
      </c>
      <c r="O283" s="9">
        <v>25400</v>
      </c>
      <c r="P283" s="9"/>
      <c r="Q283" s="9"/>
      <c r="R283" s="9"/>
      <c r="S283" s="505">
        <v>0</v>
      </c>
    </row>
    <row r="284" spans="1:19" s="143" customFormat="1" ht="22.5" customHeight="1" hidden="1">
      <c r="A284" s="584"/>
      <c r="B284" s="284"/>
      <c r="C284" s="518"/>
      <c r="D284" s="522"/>
      <c r="E284" s="522"/>
      <c r="F284" s="522"/>
      <c r="G284" s="523"/>
      <c r="H284" s="467"/>
      <c r="I284" s="467"/>
      <c r="J284" s="467"/>
      <c r="K284" s="453"/>
      <c r="L284" s="467"/>
      <c r="M284" s="41" t="s">
        <v>299</v>
      </c>
      <c r="N284" s="10"/>
      <c r="O284" s="10"/>
      <c r="P284" s="10"/>
      <c r="Q284" s="10"/>
      <c r="R284" s="10"/>
      <c r="S284" s="506"/>
    </row>
    <row r="285" spans="1:19" s="143" customFormat="1" ht="22.5" customHeight="1" hidden="1">
      <c r="A285" s="584"/>
      <c r="B285" s="284"/>
      <c r="C285" s="518"/>
      <c r="D285" s="522"/>
      <c r="E285" s="522"/>
      <c r="F285" s="522"/>
      <c r="G285" s="523"/>
      <c r="H285" s="467"/>
      <c r="I285" s="467"/>
      <c r="J285" s="467"/>
      <c r="K285" s="453"/>
      <c r="L285" s="467"/>
      <c r="M285" s="41" t="s">
        <v>300</v>
      </c>
      <c r="N285" s="11"/>
      <c r="O285" s="10"/>
      <c r="P285" s="10"/>
      <c r="Q285" s="10"/>
      <c r="R285" s="10"/>
      <c r="S285" s="506"/>
    </row>
    <row r="286" spans="1:19" s="143" customFormat="1" ht="22.5" customHeight="1" thickBot="1">
      <c r="A286" s="585"/>
      <c r="B286" s="284"/>
      <c r="C286" s="519"/>
      <c r="D286" s="524"/>
      <c r="E286" s="524"/>
      <c r="F286" s="524"/>
      <c r="G286" s="525"/>
      <c r="H286" s="469"/>
      <c r="I286" s="469"/>
      <c r="J286" s="469"/>
      <c r="K286" s="454"/>
      <c r="L286" s="469"/>
      <c r="M286" s="282" t="s">
        <v>301</v>
      </c>
      <c r="N286" s="20">
        <f>SUM(N283:N285)</f>
        <v>50950</v>
      </c>
      <c r="O286" s="283">
        <f>SUM(O283:O285)</f>
        <v>25400</v>
      </c>
      <c r="P286" s="283">
        <f>SUM(P283:P285)</f>
        <v>0</v>
      </c>
      <c r="Q286" s="283">
        <f>SUM(Q283:Q285)</f>
        <v>0</v>
      </c>
      <c r="R286" s="283">
        <f>SUM(R283:R285)</f>
        <v>0</v>
      </c>
      <c r="S286" s="507"/>
    </row>
    <row r="287" spans="1:19" s="37" customFormat="1" ht="20.25" customHeight="1" thickBot="1">
      <c r="A287" s="196"/>
      <c r="B287" s="105"/>
      <c r="C287" s="197" t="s">
        <v>390</v>
      </c>
      <c r="D287" s="196"/>
      <c r="E287" s="196"/>
      <c r="F287" s="196"/>
      <c r="G287" s="196"/>
      <c r="H287" s="196"/>
      <c r="I287" s="196"/>
      <c r="J287" s="196"/>
      <c r="K287" s="207"/>
      <c r="L287" s="196"/>
      <c r="M287" s="196"/>
      <c r="N287" s="196"/>
      <c r="O287" s="196"/>
      <c r="P287" s="196"/>
      <c r="Q287" s="196"/>
      <c r="R287" s="196"/>
      <c r="S287" s="198"/>
    </row>
    <row r="288" spans="1:19" s="143" customFormat="1" ht="17.25" customHeight="1">
      <c r="A288" s="584">
        <v>80140</v>
      </c>
      <c r="B288" s="284"/>
      <c r="C288" s="517"/>
      <c r="D288" s="520" t="s">
        <v>391</v>
      </c>
      <c r="E288" s="520"/>
      <c r="F288" s="520"/>
      <c r="G288" s="521"/>
      <c r="H288" s="467" t="s">
        <v>392</v>
      </c>
      <c r="I288" s="508" t="s">
        <v>346</v>
      </c>
      <c r="J288" s="467" t="s">
        <v>347</v>
      </c>
      <c r="K288" s="453">
        <v>1841712</v>
      </c>
      <c r="L288" s="471" t="s">
        <v>302</v>
      </c>
      <c r="M288" s="142" t="s">
        <v>298</v>
      </c>
      <c r="N288" s="8">
        <v>513970</v>
      </c>
      <c r="O288" s="9"/>
      <c r="P288" s="9"/>
      <c r="Q288" s="9"/>
      <c r="R288" s="9"/>
      <c r="S288" s="505">
        <v>0</v>
      </c>
    </row>
    <row r="289" spans="1:19" s="143" customFormat="1" ht="17.25" customHeight="1">
      <c r="A289" s="584"/>
      <c r="B289" s="284"/>
      <c r="C289" s="518"/>
      <c r="D289" s="522"/>
      <c r="E289" s="522"/>
      <c r="F289" s="522"/>
      <c r="G289" s="523"/>
      <c r="H289" s="509"/>
      <c r="I289" s="467"/>
      <c r="J289" s="467"/>
      <c r="K289" s="453"/>
      <c r="L289" s="467"/>
      <c r="M289" s="41" t="s">
        <v>299</v>
      </c>
      <c r="N289" s="10"/>
      <c r="O289" s="10"/>
      <c r="P289" s="10"/>
      <c r="Q289" s="10"/>
      <c r="R289" s="10"/>
      <c r="S289" s="506"/>
    </row>
    <row r="290" spans="1:19" s="143" customFormat="1" ht="17.25" customHeight="1">
      <c r="A290" s="584"/>
      <c r="B290" s="284"/>
      <c r="C290" s="518"/>
      <c r="D290" s="522"/>
      <c r="E290" s="522"/>
      <c r="F290" s="522"/>
      <c r="G290" s="523"/>
      <c r="H290" s="509"/>
      <c r="I290" s="467"/>
      <c r="J290" s="467"/>
      <c r="K290" s="453"/>
      <c r="L290" s="467"/>
      <c r="M290" s="41" t="s">
        <v>300</v>
      </c>
      <c r="N290" s="11">
        <v>770957</v>
      </c>
      <c r="O290" s="10"/>
      <c r="P290" s="10"/>
      <c r="Q290" s="10"/>
      <c r="R290" s="10"/>
      <c r="S290" s="506"/>
    </row>
    <row r="291" spans="1:19" s="143" customFormat="1" ht="17.25" customHeight="1" thickBot="1">
      <c r="A291" s="585"/>
      <c r="B291" s="284"/>
      <c r="C291" s="519"/>
      <c r="D291" s="524"/>
      <c r="E291" s="524"/>
      <c r="F291" s="524"/>
      <c r="G291" s="525"/>
      <c r="H291" s="510"/>
      <c r="I291" s="469"/>
      <c r="J291" s="469"/>
      <c r="K291" s="454"/>
      <c r="L291" s="469"/>
      <c r="M291" s="282" t="s">
        <v>301</v>
      </c>
      <c r="N291" s="20">
        <f>SUM(N288:N290)</f>
        <v>1284927</v>
      </c>
      <c r="O291" s="283">
        <f>SUM(O288:O290)</f>
        <v>0</v>
      </c>
      <c r="P291" s="283">
        <f>SUM(P288:P290)</f>
        <v>0</v>
      </c>
      <c r="Q291" s="283">
        <f>SUM(Q288:Q290)</f>
        <v>0</v>
      </c>
      <c r="R291" s="283">
        <f>SUM(R288:R290)</f>
        <v>0</v>
      </c>
      <c r="S291" s="507"/>
    </row>
    <row r="292" spans="1:19" s="37" customFormat="1" ht="20.25" customHeight="1" thickBot="1">
      <c r="A292" s="196"/>
      <c r="B292" s="105"/>
      <c r="C292" s="197" t="s">
        <v>144</v>
      </c>
      <c r="D292" s="196"/>
      <c r="E292" s="196"/>
      <c r="F292" s="196"/>
      <c r="G292" s="196"/>
      <c r="H292" s="196"/>
      <c r="I292" s="196"/>
      <c r="J292" s="196"/>
      <c r="K292" s="207"/>
      <c r="L292" s="196"/>
      <c r="M292" s="196"/>
      <c r="N292" s="196"/>
      <c r="O292" s="196"/>
      <c r="P292" s="196"/>
      <c r="Q292" s="196"/>
      <c r="R292" s="196"/>
      <c r="S292" s="198"/>
    </row>
    <row r="293" spans="1:19" s="143" customFormat="1" ht="18" customHeight="1">
      <c r="A293" s="584">
        <v>80140</v>
      </c>
      <c r="B293" s="284"/>
      <c r="C293" s="517"/>
      <c r="D293" s="520" t="s">
        <v>393</v>
      </c>
      <c r="E293" s="520"/>
      <c r="F293" s="520"/>
      <c r="G293" s="521"/>
      <c r="H293" s="467" t="s">
        <v>394</v>
      </c>
      <c r="I293" s="508" t="s">
        <v>346</v>
      </c>
      <c r="J293" s="467" t="s">
        <v>327</v>
      </c>
      <c r="K293" s="453">
        <v>2677567</v>
      </c>
      <c r="L293" s="471" t="s">
        <v>302</v>
      </c>
      <c r="M293" s="142" t="s">
        <v>298</v>
      </c>
      <c r="N293" s="8">
        <v>880000</v>
      </c>
      <c r="O293" s="9">
        <v>191027</v>
      </c>
      <c r="P293" s="9"/>
      <c r="Q293" s="9"/>
      <c r="R293" s="9"/>
      <c r="S293" s="505">
        <v>2677567</v>
      </c>
    </row>
    <row r="294" spans="1:19" s="143" customFormat="1" ht="18" customHeight="1">
      <c r="A294" s="584"/>
      <c r="B294" s="284"/>
      <c r="C294" s="518"/>
      <c r="D294" s="522"/>
      <c r="E294" s="522"/>
      <c r="F294" s="522"/>
      <c r="G294" s="523"/>
      <c r="H294" s="509"/>
      <c r="I294" s="467"/>
      <c r="J294" s="467"/>
      <c r="K294" s="453"/>
      <c r="L294" s="467"/>
      <c r="M294" s="41" t="s">
        <v>299</v>
      </c>
      <c r="N294" s="10"/>
      <c r="O294" s="10"/>
      <c r="P294" s="10"/>
      <c r="Q294" s="10"/>
      <c r="R294" s="10"/>
      <c r="S294" s="506"/>
    </row>
    <row r="295" spans="1:19" s="143" customFormat="1" ht="18" customHeight="1">
      <c r="A295" s="584"/>
      <c r="B295" s="284"/>
      <c r="C295" s="518"/>
      <c r="D295" s="522"/>
      <c r="E295" s="522"/>
      <c r="F295" s="522"/>
      <c r="G295" s="523"/>
      <c r="H295" s="509"/>
      <c r="I295" s="467"/>
      <c r="J295" s="467"/>
      <c r="K295" s="453"/>
      <c r="L295" s="467"/>
      <c r="M295" s="41" t="s">
        <v>300</v>
      </c>
      <c r="N295" s="11">
        <v>1320000</v>
      </c>
      <c r="O295" s="10">
        <v>286540</v>
      </c>
      <c r="P295" s="10"/>
      <c r="Q295" s="10"/>
      <c r="R295" s="10"/>
      <c r="S295" s="506"/>
    </row>
    <row r="296" spans="1:19" s="143" customFormat="1" ht="18" customHeight="1" thickBot="1">
      <c r="A296" s="585"/>
      <c r="B296" s="284"/>
      <c r="C296" s="519"/>
      <c r="D296" s="524"/>
      <c r="E296" s="524"/>
      <c r="F296" s="524"/>
      <c r="G296" s="525"/>
      <c r="H296" s="510"/>
      <c r="I296" s="469"/>
      <c r="J296" s="469"/>
      <c r="K296" s="454"/>
      <c r="L296" s="466"/>
      <c r="M296" s="282" t="s">
        <v>301</v>
      </c>
      <c r="N296" s="20">
        <f>SUM(N293:N295)</f>
        <v>2200000</v>
      </c>
      <c r="O296" s="283">
        <f>SUM(O293:O295)</f>
        <v>477567</v>
      </c>
      <c r="P296" s="283">
        <f>SUM(P293:P295)</f>
        <v>0</v>
      </c>
      <c r="Q296" s="283">
        <f>SUM(Q293:Q295)</f>
        <v>0</v>
      </c>
      <c r="R296" s="283">
        <f>SUM(R293:R295)</f>
        <v>0</v>
      </c>
      <c r="S296" s="507"/>
    </row>
    <row r="297" spans="1:19" s="12" customFormat="1" ht="30" customHeight="1">
      <c r="A297" s="607"/>
      <c r="B297" s="106"/>
      <c r="C297" s="551" t="s">
        <v>517</v>
      </c>
      <c r="D297" s="552"/>
      <c r="E297" s="552"/>
      <c r="F297" s="552"/>
      <c r="G297" s="552"/>
      <c r="H297" s="552"/>
      <c r="I297" s="552"/>
      <c r="J297" s="553"/>
      <c r="K297" s="560">
        <f>K124+K129+K134+K147+K152+K165+K178+K183+K188+K193+K198+K203+K208+K213+K218+K223+K228+K233+K238+K243+K248+K253+K258+K263+K268+K273+K278+K283+K288+K293+K118+K113+K108</f>
        <v>34887224</v>
      </c>
      <c r="L297" s="563" t="s">
        <v>297</v>
      </c>
      <c r="M297" s="111" t="s">
        <v>395</v>
      </c>
      <c r="N297" s="93">
        <f aca="true" t="shared" si="11" ref="N297:R298">N283+N278+N273+N268+N263+N258+N253+N248+N243+N238+N233+N228+N223+N218+N213+N208+N203+N198+N193+N188+N183+N178+N165+N152+N147+N134+N129+N124+N118+N113+N108</f>
        <v>10797243</v>
      </c>
      <c r="O297" s="94">
        <f t="shared" si="11"/>
        <v>4388056</v>
      </c>
      <c r="P297" s="94">
        <f t="shared" si="11"/>
        <v>630785</v>
      </c>
      <c r="Q297" s="94">
        <f t="shared" si="11"/>
        <v>0</v>
      </c>
      <c r="R297" s="276">
        <f t="shared" si="11"/>
        <v>0</v>
      </c>
      <c r="S297" s="566">
        <f>S293+S288+S283+S278+S273+S268+S263+S258+S253+S248+S243+S238+S233+S228+S223+S218+S213+S208+S203+S198+S193+S188+S183+S178+S165+S152+S147+S134+S129+S124+S118+S113+S108</f>
        <v>8807971</v>
      </c>
    </row>
    <row r="298" spans="1:19" s="12" customFormat="1" ht="15" customHeight="1">
      <c r="A298" s="608"/>
      <c r="B298" s="106"/>
      <c r="C298" s="554"/>
      <c r="D298" s="555"/>
      <c r="E298" s="555"/>
      <c r="F298" s="555"/>
      <c r="G298" s="555"/>
      <c r="H298" s="555"/>
      <c r="I298" s="555"/>
      <c r="J298" s="556"/>
      <c r="K298" s="561"/>
      <c r="L298" s="564"/>
      <c r="M298" s="251" t="s">
        <v>299</v>
      </c>
      <c r="N298" s="95">
        <f t="shared" si="11"/>
        <v>907349</v>
      </c>
      <c r="O298" s="96">
        <f t="shared" si="11"/>
        <v>365695</v>
      </c>
      <c r="P298" s="96">
        <f t="shared" si="11"/>
        <v>111315</v>
      </c>
      <c r="Q298" s="96">
        <f t="shared" si="11"/>
        <v>0</v>
      </c>
      <c r="R298" s="277">
        <f t="shared" si="11"/>
        <v>0</v>
      </c>
      <c r="S298" s="567"/>
    </row>
    <row r="299" spans="1:19" s="12" customFormat="1" ht="15" customHeight="1">
      <c r="A299" s="608"/>
      <c r="B299" s="106"/>
      <c r="C299" s="554"/>
      <c r="D299" s="555"/>
      <c r="E299" s="555"/>
      <c r="F299" s="555"/>
      <c r="G299" s="555"/>
      <c r="H299" s="555"/>
      <c r="I299" s="555"/>
      <c r="J299" s="556"/>
      <c r="K299" s="561"/>
      <c r="L299" s="564"/>
      <c r="M299" s="251" t="s">
        <v>300</v>
      </c>
      <c r="N299" s="95">
        <f>N285+N280+N275+N270+N265+N260+N255+N250+N240+N235+N230+N225+N220+N215+N210+N205+N200+N195+N190+N185+N180+N136+N131+N126+N120+N110</f>
        <v>438817</v>
      </c>
      <c r="O299" s="96">
        <f>O285+O280+O275+O270+O265+O260+O255+O250+O240+O235+O230+O225+O220+O215+O210+O205+O200+O195+O190+O185+O180+O136+O131+O126+O120+O110</f>
        <v>9453</v>
      </c>
      <c r="P299" s="96">
        <f>P285+P280+P275+P270+P265+P260+P255+P250+P240+P235+P230+P225+P220+P215+P210+P205+P200+P195+P190+P185+P180+P136+P131+P126+P120+P110</f>
        <v>0</v>
      </c>
      <c r="Q299" s="96">
        <f>Q285+Q280+Q275+Q270+Q265+Q260+Q255+Q250+Q240+Q235+Q230+Q225+Q220+Q215+Q210+Q205+Q200+Q195+Q190+Q185+Q180+Q136+Q131+Q126+Q120+Q110</f>
        <v>0</v>
      </c>
      <c r="R299" s="277">
        <f>R285+R280+R275+R270+R265+R260+R255+R250+R240+R235+R230+R225+R220+R215+R210+R205+R200+R195+R190+R185+R180+R136+R131+R126+R120+R110</f>
        <v>0</v>
      </c>
      <c r="S299" s="567"/>
    </row>
    <row r="300" spans="1:19" s="12" customFormat="1" ht="28.5">
      <c r="A300" s="608"/>
      <c r="B300" s="106"/>
      <c r="C300" s="554"/>
      <c r="D300" s="555"/>
      <c r="E300" s="555"/>
      <c r="F300" s="555"/>
      <c r="G300" s="555"/>
      <c r="H300" s="555"/>
      <c r="I300" s="555"/>
      <c r="J300" s="556"/>
      <c r="K300" s="561"/>
      <c r="L300" s="564"/>
      <c r="M300" s="251" t="s">
        <v>323</v>
      </c>
      <c r="N300" s="95">
        <f>N115+N121+N149+N154+N167</f>
        <v>418711</v>
      </c>
      <c r="O300" s="96">
        <f>O115+O121+O149+O154+O167</f>
        <v>416394</v>
      </c>
      <c r="P300" s="96">
        <f>P115+P121+P149+P154+P167</f>
        <v>0</v>
      </c>
      <c r="Q300" s="96">
        <f>Q115+Q121+Q149+Q154+Q167</f>
        <v>0</v>
      </c>
      <c r="R300" s="277">
        <f>R115+R121+R149+R154+R167</f>
        <v>0</v>
      </c>
      <c r="S300" s="567"/>
    </row>
    <row r="301" spans="1:19" s="12" customFormat="1" ht="28.5">
      <c r="A301" s="608"/>
      <c r="B301" s="106"/>
      <c r="C301" s="554"/>
      <c r="D301" s="555"/>
      <c r="E301" s="555"/>
      <c r="F301" s="555"/>
      <c r="G301" s="555"/>
      <c r="H301" s="555"/>
      <c r="I301" s="555"/>
      <c r="J301" s="556"/>
      <c r="K301" s="561"/>
      <c r="L301" s="564"/>
      <c r="M301" s="274" t="s">
        <v>446</v>
      </c>
      <c r="N301" s="95">
        <f>N245</f>
        <v>79056</v>
      </c>
      <c r="O301" s="96">
        <f>O245</f>
        <v>84768</v>
      </c>
      <c r="P301" s="96">
        <f>P245</f>
        <v>69287</v>
      </c>
      <c r="Q301" s="96">
        <f>Q245</f>
        <v>0</v>
      </c>
      <c r="R301" s="277">
        <f>R245</f>
        <v>0</v>
      </c>
      <c r="S301" s="567"/>
    </row>
    <row r="302" spans="1:19" s="12" customFormat="1" ht="15" customHeight="1">
      <c r="A302" s="608"/>
      <c r="B302" s="106"/>
      <c r="C302" s="554"/>
      <c r="D302" s="555"/>
      <c r="E302" s="555"/>
      <c r="F302" s="555"/>
      <c r="G302" s="555"/>
      <c r="H302" s="555"/>
      <c r="I302" s="555"/>
      <c r="J302" s="556"/>
      <c r="K302" s="561"/>
      <c r="L302" s="565"/>
      <c r="M302" s="267" t="s">
        <v>301</v>
      </c>
      <c r="N302" s="95">
        <f>SUM(N297:N301)</f>
        <v>12641176</v>
      </c>
      <c r="O302" s="96">
        <f>SUM(O297:O301)</f>
        <v>5264366</v>
      </c>
      <c r="P302" s="96">
        <f>SUM(P297:P301)</f>
        <v>811387</v>
      </c>
      <c r="Q302" s="96">
        <f>SUM(Q297:Q301)</f>
        <v>0</v>
      </c>
      <c r="R302" s="277">
        <f>SUM(R297:R301)</f>
        <v>0</v>
      </c>
      <c r="S302" s="567"/>
    </row>
    <row r="303" spans="1:19" s="12" customFormat="1" ht="15" customHeight="1">
      <c r="A303" s="608"/>
      <c r="B303" s="106"/>
      <c r="C303" s="554"/>
      <c r="D303" s="555"/>
      <c r="E303" s="555"/>
      <c r="F303" s="555"/>
      <c r="G303" s="555"/>
      <c r="H303" s="555"/>
      <c r="I303" s="555"/>
      <c r="J303" s="556"/>
      <c r="K303" s="561"/>
      <c r="L303" s="569" t="s">
        <v>302</v>
      </c>
      <c r="M303" s="250" t="s">
        <v>298</v>
      </c>
      <c r="N303" s="99">
        <f>N156+N169+N288+N293+N138</f>
        <v>1488120</v>
      </c>
      <c r="O303" s="96">
        <f>O156+O169+O288+O293+O138</f>
        <v>191027</v>
      </c>
      <c r="P303" s="96">
        <f>P156+P169+P288+P293+P138</f>
        <v>0</v>
      </c>
      <c r="Q303" s="96">
        <f>Q156+Q169+Q288+Q293+Q138</f>
        <v>0</v>
      </c>
      <c r="R303" s="259">
        <f>R156+R169+R288+R293+R138</f>
        <v>0</v>
      </c>
      <c r="S303" s="567"/>
    </row>
    <row r="304" spans="1:19" s="12" customFormat="1" ht="15" customHeight="1">
      <c r="A304" s="608"/>
      <c r="B304" s="106"/>
      <c r="C304" s="554"/>
      <c r="D304" s="555"/>
      <c r="E304" s="555"/>
      <c r="F304" s="555"/>
      <c r="G304" s="555"/>
      <c r="H304" s="555"/>
      <c r="I304" s="555"/>
      <c r="J304" s="556"/>
      <c r="K304" s="561"/>
      <c r="L304" s="564"/>
      <c r="M304" s="251" t="s">
        <v>299</v>
      </c>
      <c r="N304" s="99">
        <f aca="true" t="shared" si="12" ref="N304:R305">N289+N294+N139</f>
        <v>1050</v>
      </c>
      <c r="O304" s="96">
        <f t="shared" si="12"/>
        <v>0</v>
      </c>
      <c r="P304" s="96">
        <f t="shared" si="12"/>
        <v>0</v>
      </c>
      <c r="Q304" s="96">
        <f t="shared" si="12"/>
        <v>0</v>
      </c>
      <c r="R304" s="259">
        <f t="shared" si="12"/>
        <v>0</v>
      </c>
      <c r="S304" s="567"/>
    </row>
    <row r="305" spans="1:19" s="12" customFormat="1" ht="15" customHeight="1">
      <c r="A305" s="608"/>
      <c r="B305" s="106"/>
      <c r="C305" s="554"/>
      <c r="D305" s="555"/>
      <c r="E305" s="555"/>
      <c r="F305" s="555"/>
      <c r="G305" s="555"/>
      <c r="H305" s="555"/>
      <c r="I305" s="555"/>
      <c r="J305" s="556"/>
      <c r="K305" s="561"/>
      <c r="L305" s="564"/>
      <c r="M305" s="251" t="s">
        <v>300</v>
      </c>
      <c r="N305" s="99">
        <f t="shared" si="12"/>
        <v>2090957</v>
      </c>
      <c r="O305" s="96">
        <f t="shared" si="12"/>
        <v>286540</v>
      </c>
      <c r="P305" s="96">
        <f t="shared" si="12"/>
        <v>0</v>
      </c>
      <c r="Q305" s="96">
        <f t="shared" si="12"/>
        <v>0</v>
      </c>
      <c r="R305" s="259">
        <f t="shared" si="12"/>
        <v>0</v>
      </c>
      <c r="S305" s="567"/>
    </row>
    <row r="306" spans="1:19" s="12" customFormat="1" ht="15" customHeight="1">
      <c r="A306" s="608"/>
      <c r="B306" s="106"/>
      <c r="C306" s="554"/>
      <c r="D306" s="555"/>
      <c r="E306" s="555"/>
      <c r="F306" s="555"/>
      <c r="G306" s="555"/>
      <c r="H306" s="555"/>
      <c r="I306" s="555"/>
      <c r="J306" s="556"/>
      <c r="K306" s="561"/>
      <c r="L306" s="565"/>
      <c r="M306" s="268" t="s">
        <v>301</v>
      </c>
      <c r="N306" s="99">
        <f>SUM(N303:N305)</f>
        <v>3580127</v>
      </c>
      <c r="O306" s="96">
        <f>SUM(O303:O305)</f>
        <v>477567</v>
      </c>
      <c r="P306" s="96">
        <f>SUM(P303:P305)</f>
        <v>0</v>
      </c>
      <c r="Q306" s="96">
        <f>SUM(Q303:Q305)</f>
        <v>0</v>
      </c>
      <c r="R306" s="252">
        <f>SUM(R303:R305)</f>
        <v>0</v>
      </c>
      <c r="S306" s="567"/>
    </row>
    <row r="307" spans="1:19" s="18" customFormat="1" ht="27.75" customHeight="1">
      <c r="A307" s="608"/>
      <c r="B307" s="106"/>
      <c r="C307" s="554"/>
      <c r="D307" s="555"/>
      <c r="E307" s="555"/>
      <c r="F307" s="555"/>
      <c r="G307" s="555"/>
      <c r="H307" s="555"/>
      <c r="I307" s="555"/>
      <c r="J307" s="556"/>
      <c r="K307" s="561"/>
      <c r="L307" s="570" t="s">
        <v>301</v>
      </c>
      <c r="M307" s="258" t="s">
        <v>395</v>
      </c>
      <c r="N307" s="262">
        <f aca="true" t="shared" si="13" ref="N307:R309">N297+N303</f>
        <v>12285363</v>
      </c>
      <c r="O307" s="263">
        <f t="shared" si="13"/>
        <v>4579083</v>
      </c>
      <c r="P307" s="263">
        <f t="shared" si="13"/>
        <v>630785</v>
      </c>
      <c r="Q307" s="263">
        <f t="shared" si="13"/>
        <v>0</v>
      </c>
      <c r="R307" s="264">
        <f t="shared" si="13"/>
        <v>0</v>
      </c>
      <c r="S307" s="567"/>
    </row>
    <row r="308" spans="1:19" s="18" customFormat="1" ht="15" customHeight="1">
      <c r="A308" s="608"/>
      <c r="B308" s="106"/>
      <c r="C308" s="554"/>
      <c r="D308" s="555"/>
      <c r="E308" s="555"/>
      <c r="F308" s="555"/>
      <c r="G308" s="555"/>
      <c r="H308" s="555"/>
      <c r="I308" s="555"/>
      <c r="J308" s="556"/>
      <c r="K308" s="561"/>
      <c r="L308" s="571"/>
      <c r="M308" s="258" t="s">
        <v>299</v>
      </c>
      <c r="N308" s="265">
        <f t="shared" si="13"/>
        <v>908399</v>
      </c>
      <c r="O308" s="88">
        <f t="shared" si="13"/>
        <v>365695</v>
      </c>
      <c r="P308" s="88">
        <f t="shared" si="13"/>
        <v>111315</v>
      </c>
      <c r="Q308" s="88">
        <f t="shared" si="13"/>
        <v>0</v>
      </c>
      <c r="R308" s="266">
        <f t="shared" si="13"/>
        <v>0</v>
      </c>
      <c r="S308" s="567"/>
    </row>
    <row r="309" spans="1:19" s="18" customFormat="1" ht="15" customHeight="1">
      <c r="A309" s="608"/>
      <c r="B309" s="106"/>
      <c r="C309" s="554"/>
      <c r="D309" s="555"/>
      <c r="E309" s="555"/>
      <c r="F309" s="555"/>
      <c r="G309" s="555"/>
      <c r="H309" s="555"/>
      <c r="I309" s="555"/>
      <c r="J309" s="556"/>
      <c r="K309" s="561"/>
      <c r="L309" s="571"/>
      <c r="M309" s="258" t="s">
        <v>300</v>
      </c>
      <c r="N309" s="91">
        <f t="shared" si="13"/>
        <v>2529774</v>
      </c>
      <c r="O309" s="88">
        <f t="shared" si="13"/>
        <v>295993</v>
      </c>
      <c r="P309" s="88">
        <f t="shared" si="13"/>
        <v>0</v>
      </c>
      <c r="Q309" s="88">
        <f t="shared" si="13"/>
        <v>0</v>
      </c>
      <c r="R309" s="266">
        <f t="shared" si="13"/>
        <v>0</v>
      </c>
      <c r="S309" s="567"/>
    </row>
    <row r="310" spans="1:19" s="18" customFormat="1" ht="30">
      <c r="A310" s="608"/>
      <c r="B310" s="106"/>
      <c r="C310" s="554"/>
      <c r="D310" s="555"/>
      <c r="E310" s="555"/>
      <c r="F310" s="555"/>
      <c r="G310" s="555"/>
      <c r="H310" s="555"/>
      <c r="I310" s="555"/>
      <c r="J310" s="556"/>
      <c r="K310" s="561"/>
      <c r="L310" s="571"/>
      <c r="M310" s="258" t="s">
        <v>323</v>
      </c>
      <c r="N310" s="89">
        <f aca="true" t="shared" si="14" ref="N310:R311">N300</f>
        <v>418711</v>
      </c>
      <c r="O310" s="90">
        <f t="shared" si="14"/>
        <v>416394</v>
      </c>
      <c r="P310" s="90">
        <f t="shared" si="14"/>
        <v>0</v>
      </c>
      <c r="Q310" s="90">
        <f t="shared" si="14"/>
        <v>0</v>
      </c>
      <c r="R310" s="275">
        <f t="shared" si="14"/>
        <v>0</v>
      </c>
      <c r="S310" s="567"/>
    </row>
    <row r="311" spans="1:19" s="18" customFormat="1" ht="30">
      <c r="A311" s="608"/>
      <c r="B311" s="106"/>
      <c r="C311" s="554"/>
      <c r="D311" s="555"/>
      <c r="E311" s="555"/>
      <c r="F311" s="555"/>
      <c r="G311" s="555"/>
      <c r="H311" s="555"/>
      <c r="I311" s="555"/>
      <c r="J311" s="556"/>
      <c r="K311" s="561"/>
      <c r="L311" s="571"/>
      <c r="M311" s="278" t="s">
        <v>446</v>
      </c>
      <c r="N311" s="89">
        <f t="shared" si="14"/>
        <v>79056</v>
      </c>
      <c r="O311" s="90">
        <f t="shared" si="14"/>
        <v>84768</v>
      </c>
      <c r="P311" s="90">
        <f t="shared" si="14"/>
        <v>69287</v>
      </c>
      <c r="Q311" s="90">
        <f t="shared" si="14"/>
        <v>0</v>
      </c>
      <c r="R311" s="275">
        <f t="shared" si="14"/>
        <v>0</v>
      </c>
      <c r="S311" s="567"/>
    </row>
    <row r="312" spans="1:19" s="22" customFormat="1" ht="15" customHeight="1" thickBot="1">
      <c r="A312" s="609"/>
      <c r="B312" s="106"/>
      <c r="C312" s="557"/>
      <c r="D312" s="558"/>
      <c r="E312" s="558"/>
      <c r="F312" s="558"/>
      <c r="G312" s="558"/>
      <c r="H312" s="558"/>
      <c r="I312" s="558"/>
      <c r="J312" s="559"/>
      <c r="K312" s="562"/>
      <c r="L312" s="572"/>
      <c r="M312" s="253" t="s">
        <v>301</v>
      </c>
      <c r="N312" s="254">
        <f>SUM(N307:N311)</f>
        <v>16221303</v>
      </c>
      <c r="O312" s="92">
        <f>SUM(O307:O311)</f>
        <v>5741933</v>
      </c>
      <c r="P312" s="92">
        <f>SUM(P307:P311)</f>
        <v>811387</v>
      </c>
      <c r="Q312" s="92">
        <f>SUM(Q307:Q311)</f>
        <v>0</v>
      </c>
      <c r="R312" s="255">
        <f>SUM(R307:R311)</f>
        <v>0</v>
      </c>
      <c r="S312" s="568"/>
    </row>
    <row r="313" spans="1:19" s="195" customFormat="1" ht="20.25" customHeight="1" thickBot="1">
      <c r="A313" s="189"/>
      <c r="B313" s="190"/>
      <c r="C313" s="459" t="s">
        <v>396</v>
      </c>
      <c r="D313" s="455" t="s">
        <v>397</v>
      </c>
      <c r="E313" s="455"/>
      <c r="F313" s="455"/>
      <c r="G313" s="455"/>
      <c r="H313" s="191"/>
      <c r="I313" s="191"/>
      <c r="J313" s="191"/>
      <c r="K313" s="206"/>
      <c r="L313" s="189"/>
      <c r="M313" s="192"/>
      <c r="N313" s="193"/>
      <c r="O313" s="193"/>
      <c r="P313" s="193"/>
      <c r="Q313" s="193"/>
      <c r="R313" s="193"/>
      <c r="S313" s="194"/>
    </row>
    <row r="314" spans="1:19" s="37" customFormat="1" ht="20.25" customHeight="1" thickBot="1">
      <c r="A314" s="196"/>
      <c r="B314" s="105"/>
      <c r="C314" s="197" t="s">
        <v>531</v>
      </c>
      <c r="D314" s="196"/>
      <c r="E314" s="196"/>
      <c r="F314" s="196"/>
      <c r="G314" s="196"/>
      <c r="H314" s="196"/>
      <c r="I314" s="196"/>
      <c r="J314" s="196"/>
      <c r="K314" s="207"/>
      <c r="L314" s="196"/>
      <c r="M314" s="196"/>
      <c r="N314" s="196"/>
      <c r="O314" s="196"/>
      <c r="P314" s="196"/>
      <c r="Q314" s="196"/>
      <c r="R314" s="196"/>
      <c r="S314" s="198"/>
    </row>
    <row r="315" spans="1:19" s="143" customFormat="1" ht="27" customHeight="1">
      <c r="A315" s="694"/>
      <c r="B315" s="284"/>
      <c r="C315" s="518"/>
      <c r="D315" s="653" t="s">
        <v>266</v>
      </c>
      <c r="E315" s="653"/>
      <c r="F315" s="653"/>
      <c r="G315" s="654"/>
      <c r="H315" s="467" t="s">
        <v>265</v>
      </c>
      <c r="I315" s="467" t="s">
        <v>532</v>
      </c>
      <c r="J315" s="456" t="s">
        <v>347</v>
      </c>
      <c r="K315" s="531">
        <v>11243000</v>
      </c>
      <c r="L315" s="467" t="s">
        <v>302</v>
      </c>
      <c r="M315" s="142" t="s">
        <v>298</v>
      </c>
      <c r="N315" s="27">
        <v>9556500</v>
      </c>
      <c r="O315" s="28"/>
      <c r="P315" s="28"/>
      <c r="Q315" s="28"/>
      <c r="R315" s="28"/>
      <c r="S315" s="505">
        <v>0</v>
      </c>
    </row>
    <row r="316" spans="1:19" s="143" customFormat="1" ht="27" customHeight="1">
      <c r="A316" s="695"/>
      <c r="B316" s="284"/>
      <c r="C316" s="518"/>
      <c r="D316" s="653"/>
      <c r="E316" s="653"/>
      <c r="F316" s="653"/>
      <c r="G316" s="654"/>
      <c r="H316" s="509"/>
      <c r="I316" s="509"/>
      <c r="J316" s="457"/>
      <c r="K316" s="532"/>
      <c r="L316" s="509"/>
      <c r="M316" s="41" t="s">
        <v>299</v>
      </c>
      <c r="N316" s="10">
        <v>0</v>
      </c>
      <c r="O316" s="10"/>
      <c r="P316" s="10"/>
      <c r="Q316" s="10"/>
      <c r="R316" s="10"/>
      <c r="S316" s="506"/>
    </row>
    <row r="317" spans="1:19" s="143" customFormat="1" ht="27" customHeight="1">
      <c r="A317" s="695"/>
      <c r="B317" s="284"/>
      <c r="C317" s="518"/>
      <c r="D317" s="653"/>
      <c r="E317" s="653"/>
      <c r="F317" s="653"/>
      <c r="G317" s="654"/>
      <c r="H317" s="509"/>
      <c r="I317" s="509"/>
      <c r="J317" s="457"/>
      <c r="K317" s="532"/>
      <c r="L317" s="509"/>
      <c r="M317" s="41" t="s">
        <v>300</v>
      </c>
      <c r="N317" s="11">
        <v>26360</v>
      </c>
      <c r="O317" s="10"/>
      <c r="P317" s="10"/>
      <c r="Q317" s="10"/>
      <c r="R317" s="10"/>
      <c r="S317" s="506"/>
    </row>
    <row r="318" spans="1:19" s="143" customFormat="1" ht="27" customHeight="1" thickBot="1">
      <c r="A318" s="696"/>
      <c r="B318" s="284"/>
      <c r="C318" s="519"/>
      <c r="D318" s="655"/>
      <c r="E318" s="655"/>
      <c r="F318" s="655"/>
      <c r="G318" s="656"/>
      <c r="H318" s="510"/>
      <c r="I318" s="510"/>
      <c r="J318" s="458"/>
      <c r="K318" s="533"/>
      <c r="L318" s="510"/>
      <c r="M318" s="13" t="s">
        <v>301</v>
      </c>
      <c r="N318" s="280">
        <f>SUM(N315:N317)</f>
        <v>9582860</v>
      </c>
      <c r="O318" s="279">
        <f>SUM(O315:O317)</f>
        <v>0</v>
      </c>
      <c r="P318" s="279">
        <f>SUM(P315:P317)</f>
        <v>0</v>
      </c>
      <c r="Q318" s="279">
        <f>SUM(Q315:Q317)</f>
        <v>0</v>
      </c>
      <c r="R318" s="279">
        <f>SUM(R315:R317)</f>
        <v>0</v>
      </c>
      <c r="S318" s="507"/>
    </row>
    <row r="319" spans="1:19" s="37" customFormat="1" ht="20.25" customHeight="1" thickBot="1">
      <c r="A319" s="196"/>
      <c r="B319" s="105"/>
      <c r="C319" s="197" t="s">
        <v>398</v>
      </c>
      <c r="D319" s="196"/>
      <c r="E319" s="196"/>
      <c r="F319" s="196"/>
      <c r="G319" s="196"/>
      <c r="H319" s="196"/>
      <c r="I319" s="196"/>
      <c r="J319" s="196"/>
      <c r="K319" s="207"/>
      <c r="L319" s="196"/>
      <c r="M319" s="196"/>
      <c r="N319" s="196"/>
      <c r="O319" s="196"/>
      <c r="P319" s="196"/>
      <c r="Q319" s="196"/>
      <c r="R319" s="196"/>
      <c r="S319" s="198"/>
    </row>
    <row r="320" spans="1:19" s="143" customFormat="1" ht="16.5" customHeight="1">
      <c r="A320" s="528">
        <v>85195</v>
      </c>
      <c r="B320" s="284"/>
      <c r="C320" s="518"/>
      <c r="D320" s="522" t="s">
        <v>399</v>
      </c>
      <c r="E320" s="522"/>
      <c r="F320" s="522"/>
      <c r="G320" s="523"/>
      <c r="H320" s="467" t="s">
        <v>317</v>
      </c>
      <c r="I320" s="467" t="s">
        <v>295</v>
      </c>
      <c r="J320" s="467" t="s">
        <v>332</v>
      </c>
      <c r="K320" s="468">
        <f>6350087+800000+300000</f>
        <v>7450087</v>
      </c>
      <c r="L320" s="508" t="s">
        <v>297</v>
      </c>
      <c r="M320" s="142" t="s">
        <v>400</v>
      </c>
      <c r="N320" s="27">
        <v>2515769</v>
      </c>
      <c r="O320" s="28"/>
      <c r="P320" s="28"/>
      <c r="Q320" s="28"/>
      <c r="R320" s="28"/>
      <c r="S320" s="505">
        <v>0</v>
      </c>
    </row>
    <row r="321" spans="1:19" s="143" customFormat="1" ht="16.5" customHeight="1">
      <c r="A321" s="542"/>
      <c r="B321" s="284"/>
      <c r="C321" s="518"/>
      <c r="D321" s="522"/>
      <c r="E321" s="522"/>
      <c r="F321" s="522"/>
      <c r="G321" s="523"/>
      <c r="H321" s="542"/>
      <c r="I321" s="542"/>
      <c r="J321" s="542"/>
      <c r="K321" s="512"/>
      <c r="L321" s="467"/>
      <c r="M321" s="41" t="s">
        <v>299</v>
      </c>
      <c r="N321" s="10">
        <v>0</v>
      </c>
      <c r="O321" s="10"/>
      <c r="P321" s="10"/>
      <c r="Q321" s="10"/>
      <c r="R321" s="10"/>
      <c r="S321" s="506"/>
    </row>
    <row r="322" spans="1:19" s="143" customFormat="1" ht="16.5" customHeight="1">
      <c r="A322" s="542"/>
      <c r="B322" s="284"/>
      <c r="C322" s="518"/>
      <c r="D322" s="522"/>
      <c r="E322" s="522"/>
      <c r="F322" s="522"/>
      <c r="G322" s="523"/>
      <c r="H322" s="542"/>
      <c r="I322" s="542"/>
      <c r="J322" s="542"/>
      <c r="K322" s="512"/>
      <c r="L322" s="467"/>
      <c r="M322" s="41" t="s">
        <v>300</v>
      </c>
      <c r="N322" s="11">
        <v>443959</v>
      </c>
      <c r="O322" s="10"/>
      <c r="P322" s="10"/>
      <c r="Q322" s="10"/>
      <c r="R322" s="10"/>
      <c r="S322" s="506"/>
    </row>
    <row r="323" spans="1:19" s="143" customFormat="1" ht="25.5" customHeight="1">
      <c r="A323" s="542"/>
      <c r="B323" s="284"/>
      <c r="C323" s="518"/>
      <c r="D323" s="522"/>
      <c r="E323" s="522"/>
      <c r="F323" s="522"/>
      <c r="G323" s="523"/>
      <c r="H323" s="542"/>
      <c r="I323" s="542"/>
      <c r="J323" s="542"/>
      <c r="K323" s="512"/>
      <c r="L323" s="467"/>
      <c r="M323" s="61" t="s">
        <v>446</v>
      </c>
      <c r="N323" s="51">
        <v>300000</v>
      </c>
      <c r="O323" s="46"/>
      <c r="P323" s="46"/>
      <c r="Q323" s="46"/>
      <c r="R323" s="46"/>
      <c r="S323" s="506"/>
    </row>
    <row r="324" spans="1:19" s="143" customFormat="1" ht="16.5" customHeight="1" thickBot="1">
      <c r="A324" s="543"/>
      <c r="B324" s="284"/>
      <c r="C324" s="519"/>
      <c r="D324" s="524"/>
      <c r="E324" s="524"/>
      <c r="F324" s="524"/>
      <c r="G324" s="525"/>
      <c r="H324" s="543"/>
      <c r="I324" s="543"/>
      <c r="J324" s="543"/>
      <c r="K324" s="513"/>
      <c r="L324" s="466"/>
      <c r="M324" s="13" t="s">
        <v>301</v>
      </c>
      <c r="N324" s="280">
        <f>SUM(N320:N323)</f>
        <v>3259728</v>
      </c>
      <c r="O324" s="279">
        <f>SUM(O320:O322)</f>
        <v>0</v>
      </c>
      <c r="P324" s="279">
        <f>SUM(P320:P322)</f>
        <v>0</v>
      </c>
      <c r="Q324" s="279">
        <f>SUM(Q320:Q322)</f>
        <v>0</v>
      </c>
      <c r="R324" s="279">
        <f>SUM(R320:R322)</f>
        <v>0</v>
      </c>
      <c r="S324" s="507"/>
    </row>
    <row r="325" spans="1:19" s="37" customFormat="1" ht="20.25" customHeight="1" thickBot="1">
      <c r="A325" s="196"/>
      <c r="B325" s="105"/>
      <c r="C325" s="197" t="s">
        <v>401</v>
      </c>
      <c r="D325" s="196"/>
      <c r="E325" s="196"/>
      <c r="F325" s="196"/>
      <c r="G325" s="196"/>
      <c r="H325" s="196"/>
      <c r="I325" s="196"/>
      <c r="J325" s="196"/>
      <c r="K325" s="207"/>
      <c r="L325" s="196"/>
      <c r="M325" s="196"/>
      <c r="N325" s="196"/>
      <c r="O325" s="196"/>
      <c r="P325" s="196"/>
      <c r="Q325" s="196"/>
      <c r="R325" s="196"/>
      <c r="S325" s="198"/>
    </row>
    <row r="326" spans="1:19" s="143" customFormat="1" ht="15" customHeight="1">
      <c r="A326" s="528">
        <v>85295</v>
      </c>
      <c r="B326" s="284"/>
      <c r="C326" s="518"/>
      <c r="D326" s="522" t="s">
        <v>402</v>
      </c>
      <c r="E326" s="522"/>
      <c r="F326" s="522"/>
      <c r="G326" s="523"/>
      <c r="H326" s="467" t="s">
        <v>403</v>
      </c>
      <c r="I326" s="467" t="s">
        <v>295</v>
      </c>
      <c r="J326" s="467" t="s">
        <v>332</v>
      </c>
      <c r="K326" s="468">
        <v>205042</v>
      </c>
      <c r="L326" s="508" t="s">
        <v>297</v>
      </c>
      <c r="M326" s="142" t="s">
        <v>298</v>
      </c>
      <c r="N326" s="27">
        <v>28156</v>
      </c>
      <c r="O326" s="28"/>
      <c r="P326" s="28"/>
      <c r="Q326" s="28"/>
      <c r="R326" s="28"/>
      <c r="S326" s="505">
        <v>0</v>
      </c>
    </row>
    <row r="327" spans="1:19" s="143" customFormat="1" ht="15" customHeight="1">
      <c r="A327" s="509"/>
      <c r="B327" s="284"/>
      <c r="C327" s="518"/>
      <c r="D327" s="522"/>
      <c r="E327" s="522"/>
      <c r="F327" s="522"/>
      <c r="G327" s="523"/>
      <c r="H327" s="509"/>
      <c r="I327" s="509"/>
      <c r="J327" s="509"/>
      <c r="K327" s="512"/>
      <c r="L327" s="467"/>
      <c r="M327" s="41" t="s">
        <v>299</v>
      </c>
      <c r="N327" s="10">
        <v>0</v>
      </c>
      <c r="O327" s="10"/>
      <c r="P327" s="10"/>
      <c r="Q327" s="10"/>
      <c r="R327" s="10"/>
      <c r="S327" s="506"/>
    </row>
    <row r="328" spans="1:19" s="143" customFormat="1" ht="15" customHeight="1">
      <c r="A328" s="509"/>
      <c r="B328" s="284"/>
      <c r="C328" s="518"/>
      <c r="D328" s="522"/>
      <c r="E328" s="522"/>
      <c r="F328" s="522"/>
      <c r="G328" s="523"/>
      <c r="H328" s="509"/>
      <c r="I328" s="509"/>
      <c r="J328" s="509"/>
      <c r="K328" s="512"/>
      <c r="L328" s="467"/>
      <c r="M328" s="41" t="s">
        <v>300</v>
      </c>
      <c r="N328" s="11">
        <v>0</v>
      </c>
      <c r="O328" s="10"/>
      <c r="P328" s="10"/>
      <c r="Q328" s="10"/>
      <c r="R328" s="10"/>
      <c r="S328" s="506"/>
    </row>
    <row r="329" spans="1:19" s="143" customFormat="1" ht="15" customHeight="1" thickBot="1">
      <c r="A329" s="510"/>
      <c r="B329" s="284"/>
      <c r="C329" s="519"/>
      <c r="D329" s="524"/>
      <c r="E329" s="524"/>
      <c r="F329" s="524"/>
      <c r="G329" s="525"/>
      <c r="H329" s="510"/>
      <c r="I329" s="510"/>
      <c r="J329" s="510"/>
      <c r="K329" s="513"/>
      <c r="L329" s="466"/>
      <c r="M329" s="13" t="s">
        <v>301</v>
      </c>
      <c r="N329" s="280">
        <f>SUM(N326:N328)</f>
        <v>28156</v>
      </c>
      <c r="O329" s="279">
        <f>SUM(O326:O328)</f>
        <v>0</v>
      </c>
      <c r="P329" s="279">
        <f>SUM(P326:P328)</f>
        <v>0</v>
      </c>
      <c r="Q329" s="279">
        <f>SUM(Q326:Q328)</f>
        <v>0</v>
      </c>
      <c r="R329" s="279">
        <f>SUM(R326:R328)</f>
        <v>0</v>
      </c>
      <c r="S329" s="507"/>
    </row>
    <row r="330" spans="1:19" s="37" customFormat="1" ht="20.25" customHeight="1" thickBot="1">
      <c r="A330" s="196"/>
      <c r="B330" s="105"/>
      <c r="C330" s="197" t="s">
        <v>404</v>
      </c>
      <c r="D330" s="196"/>
      <c r="E330" s="196"/>
      <c r="F330" s="196"/>
      <c r="G330" s="196"/>
      <c r="H330" s="196"/>
      <c r="I330" s="196"/>
      <c r="J330" s="196"/>
      <c r="K330" s="207"/>
      <c r="L330" s="196"/>
      <c r="M330" s="196"/>
      <c r="N330" s="196"/>
      <c r="O330" s="196"/>
      <c r="P330" s="196"/>
      <c r="Q330" s="196"/>
      <c r="R330" s="196"/>
      <c r="S330" s="198"/>
    </row>
    <row r="331" spans="1:19" s="143" customFormat="1" ht="15" customHeight="1">
      <c r="A331" s="528">
        <v>85295</v>
      </c>
      <c r="B331" s="284"/>
      <c r="C331" s="518"/>
      <c r="D331" s="522" t="s">
        <v>405</v>
      </c>
      <c r="E331" s="522"/>
      <c r="F331" s="522"/>
      <c r="G331" s="523"/>
      <c r="H331" s="467" t="s">
        <v>372</v>
      </c>
      <c r="I331" s="467" t="s">
        <v>295</v>
      </c>
      <c r="J331" s="467" t="s">
        <v>332</v>
      </c>
      <c r="K331" s="468">
        <v>1818166</v>
      </c>
      <c r="L331" s="508" t="s">
        <v>297</v>
      </c>
      <c r="M331" s="142" t="s">
        <v>298</v>
      </c>
      <c r="N331" s="27">
        <v>598434</v>
      </c>
      <c r="O331" s="28"/>
      <c r="P331" s="28"/>
      <c r="Q331" s="28"/>
      <c r="R331" s="28"/>
      <c r="S331" s="505">
        <v>0</v>
      </c>
    </row>
    <row r="332" spans="1:19" s="143" customFormat="1" ht="15" customHeight="1">
      <c r="A332" s="509"/>
      <c r="B332" s="284"/>
      <c r="C332" s="518"/>
      <c r="D332" s="522"/>
      <c r="E332" s="522"/>
      <c r="F332" s="522"/>
      <c r="G332" s="523"/>
      <c r="H332" s="509"/>
      <c r="I332" s="509"/>
      <c r="J332" s="509"/>
      <c r="K332" s="512"/>
      <c r="L332" s="467"/>
      <c r="M332" s="41" t="s">
        <v>299</v>
      </c>
      <c r="N332" s="10">
        <v>105605</v>
      </c>
      <c r="O332" s="10"/>
      <c r="P332" s="10"/>
      <c r="Q332" s="10"/>
      <c r="R332" s="10"/>
      <c r="S332" s="506"/>
    </row>
    <row r="333" spans="1:19" s="143" customFormat="1" ht="15" customHeight="1">
      <c r="A333" s="509"/>
      <c r="B333" s="284"/>
      <c r="C333" s="518"/>
      <c r="D333" s="522"/>
      <c r="E333" s="522"/>
      <c r="F333" s="522"/>
      <c r="G333" s="523"/>
      <c r="H333" s="509"/>
      <c r="I333" s="509"/>
      <c r="J333" s="509"/>
      <c r="K333" s="512"/>
      <c r="L333" s="467"/>
      <c r="M333" s="41" t="s">
        <v>300</v>
      </c>
      <c r="N333" s="11"/>
      <c r="O333" s="10"/>
      <c r="P333" s="10"/>
      <c r="Q333" s="10"/>
      <c r="R333" s="10"/>
      <c r="S333" s="506"/>
    </row>
    <row r="334" spans="1:19" s="143" customFormat="1" ht="15" customHeight="1" thickBot="1">
      <c r="A334" s="510"/>
      <c r="B334" s="284"/>
      <c r="C334" s="519"/>
      <c r="D334" s="524"/>
      <c r="E334" s="524"/>
      <c r="F334" s="524"/>
      <c r="G334" s="525"/>
      <c r="H334" s="510"/>
      <c r="I334" s="510"/>
      <c r="J334" s="510"/>
      <c r="K334" s="513"/>
      <c r="L334" s="466"/>
      <c r="M334" s="13" t="s">
        <v>301</v>
      </c>
      <c r="N334" s="280">
        <f>SUM(N331:N333)</f>
        <v>704039</v>
      </c>
      <c r="O334" s="279">
        <f>SUM(O331:O333)</f>
        <v>0</v>
      </c>
      <c r="P334" s="279">
        <f>SUM(P331:P333)</f>
        <v>0</v>
      </c>
      <c r="Q334" s="279">
        <f>SUM(Q331:Q333)</f>
        <v>0</v>
      </c>
      <c r="R334" s="279">
        <f>SUM(R331:R333)</f>
        <v>0</v>
      </c>
      <c r="S334" s="507"/>
    </row>
    <row r="335" spans="1:19" s="37" customFormat="1" ht="20.25" customHeight="1" thickBot="1">
      <c r="A335" s="196"/>
      <c r="B335" s="105"/>
      <c r="C335" s="197" t="s">
        <v>406</v>
      </c>
      <c r="D335" s="196"/>
      <c r="E335" s="196"/>
      <c r="F335" s="196"/>
      <c r="G335" s="196"/>
      <c r="H335" s="196"/>
      <c r="I335" s="196"/>
      <c r="J335" s="196"/>
      <c r="K335" s="207"/>
      <c r="L335" s="196"/>
      <c r="M335" s="196"/>
      <c r="N335" s="196"/>
      <c r="O335" s="196"/>
      <c r="P335" s="196"/>
      <c r="Q335" s="196"/>
      <c r="R335" s="196"/>
      <c r="S335" s="198"/>
    </row>
    <row r="336" spans="1:19" s="143" customFormat="1" ht="15" customHeight="1">
      <c r="A336" s="528">
        <v>85395</v>
      </c>
      <c r="B336" s="284"/>
      <c r="C336" s="518"/>
      <c r="D336" s="522" t="s">
        <v>407</v>
      </c>
      <c r="E336" s="522"/>
      <c r="F336" s="522"/>
      <c r="G336" s="523"/>
      <c r="H336" s="467" t="s">
        <v>408</v>
      </c>
      <c r="I336" s="467" t="s">
        <v>295</v>
      </c>
      <c r="J336" s="467" t="s">
        <v>332</v>
      </c>
      <c r="K336" s="468">
        <f>955011+22500</f>
        <v>977511</v>
      </c>
      <c r="L336" s="508" t="s">
        <v>297</v>
      </c>
      <c r="M336" s="142" t="s">
        <v>298</v>
      </c>
      <c r="N336" s="27">
        <v>305169</v>
      </c>
      <c r="O336" s="28"/>
      <c r="P336" s="28"/>
      <c r="Q336" s="28"/>
      <c r="R336" s="28"/>
      <c r="S336" s="505">
        <v>0</v>
      </c>
    </row>
    <row r="337" spans="1:19" s="143" customFormat="1" ht="15" customHeight="1">
      <c r="A337" s="509"/>
      <c r="B337" s="284"/>
      <c r="C337" s="518"/>
      <c r="D337" s="522"/>
      <c r="E337" s="522"/>
      <c r="F337" s="522"/>
      <c r="G337" s="523"/>
      <c r="H337" s="509"/>
      <c r="I337" s="509"/>
      <c r="J337" s="509"/>
      <c r="K337" s="512"/>
      <c r="L337" s="467"/>
      <c r="M337" s="41" t="s">
        <v>299</v>
      </c>
      <c r="N337" s="10">
        <v>53853</v>
      </c>
      <c r="O337" s="10"/>
      <c r="P337" s="10"/>
      <c r="Q337" s="10"/>
      <c r="R337" s="10"/>
      <c r="S337" s="506"/>
    </row>
    <row r="338" spans="1:19" s="143" customFormat="1" ht="27.75" customHeight="1">
      <c r="A338" s="509"/>
      <c r="B338" s="284"/>
      <c r="C338" s="518"/>
      <c r="D338" s="522"/>
      <c r="E338" s="522"/>
      <c r="F338" s="522"/>
      <c r="G338" s="523"/>
      <c r="H338" s="509"/>
      <c r="I338" s="509"/>
      <c r="J338" s="509"/>
      <c r="K338" s="512"/>
      <c r="L338" s="467"/>
      <c r="M338" s="41" t="s">
        <v>446</v>
      </c>
      <c r="N338" s="11">
        <f>19140+2890+470</f>
        <v>22500</v>
      </c>
      <c r="O338" s="10"/>
      <c r="P338" s="10"/>
      <c r="Q338" s="10"/>
      <c r="R338" s="10"/>
      <c r="S338" s="506"/>
    </row>
    <row r="339" spans="1:19" s="143" customFormat="1" ht="15" customHeight="1" thickBot="1">
      <c r="A339" s="510"/>
      <c r="B339" s="284"/>
      <c r="C339" s="519"/>
      <c r="D339" s="524"/>
      <c r="E339" s="524"/>
      <c r="F339" s="524"/>
      <c r="G339" s="525"/>
      <c r="H339" s="510"/>
      <c r="I339" s="510"/>
      <c r="J339" s="510"/>
      <c r="K339" s="513"/>
      <c r="L339" s="466"/>
      <c r="M339" s="13" t="s">
        <v>301</v>
      </c>
      <c r="N339" s="280">
        <f>SUM(N336:N338)</f>
        <v>381522</v>
      </c>
      <c r="O339" s="279">
        <f>SUM(O336:O338)</f>
        <v>0</v>
      </c>
      <c r="P339" s="279">
        <f>SUM(P336:P338)</f>
        <v>0</v>
      </c>
      <c r="Q339" s="279">
        <f>SUM(Q336:Q338)</f>
        <v>0</v>
      </c>
      <c r="R339" s="279">
        <f>SUM(R336:R338)</f>
        <v>0</v>
      </c>
      <c r="S339" s="507"/>
    </row>
    <row r="340" spans="1:19" s="37" customFormat="1" ht="20.25" customHeight="1" thickBot="1">
      <c r="A340" s="196"/>
      <c r="B340" s="105"/>
      <c r="C340" s="197" t="s">
        <v>409</v>
      </c>
      <c r="D340" s="196"/>
      <c r="E340" s="196"/>
      <c r="F340" s="196"/>
      <c r="G340" s="196"/>
      <c r="H340" s="196"/>
      <c r="I340" s="196"/>
      <c r="J340" s="196"/>
      <c r="K340" s="207"/>
      <c r="L340" s="196"/>
      <c r="M340" s="196"/>
      <c r="N340" s="196"/>
      <c r="O340" s="196"/>
      <c r="P340" s="196"/>
      <c r="Q340" s="196"/>
      <c r="R340" s="196"/>
      <c r="S340" s="198"/>
    </row>
    <row r="341" spans="1:19" s="143" customFormat="1" ht="15" customHeight="1">
      <c r="A341" s="465">
        <v>85295</v>
      </c>
      <c r="B341" s="284"/>
      <c r="C341" s="517"/>
      <c r="D341" s="685" t="s">
        <v>493</v>
      </c>
      <c r="E341" s="685"/>
      <c r="F341" s="685"/>
      <c r="G341" s="686"/>
      <c r="H341" s="534" t="s">
        <v>447</v>
      </c>
      <c r="I341" s="456" t="s">
        <v>448</v>
      </c>
      <c r="J341" s="456" t="s">
        <v>327</v>
      </c>
      <c r="K341" s="575">
        <v>842413</v>
      </c>
      <c r="L341" s="508" t="s">
        <v>297</v>
      </c>
      <c r="M341" s="248" t="s">
        <v>298</v>
      </c>
      <c r="N341" s="8">
        <v>245548</v>
      </c>
      <c r="O341" s="475">
        <f>254211-O345</f>
        <v>250214</v>
      </c>
      <c r="P341" s="476"/>
      <c r="Q341" s="476"/>
      <c r="R341" s="30"/>
      <c r="S341" s="505">
        <v>842413</v>
      </c>
    </row>
    <row r="342" spans="1:19" s="143" customFormat="1" ht="15" customHeight="1" hidden="1">
      <c r="A342" s="457"/>
      <c r="B342" s="284"/>
      <c r="C342" s="518"/>
      <c r="D342" s="653"/>
      <c r="E342" s="653"/>
      <c r="F342" s="653"/>
      <c r="G342" s="654"/>
      <c r="H342" s="456"/>
      <c r="I342" s="457"/>
      <c r="J342" s="457"/>
      <c r="K342" s="576"/>
      <c r="L342" s="467"/>
      <c r="M342" s="41" t="s">
        <v>299</v>
      </c>
      <c r="N342" s="29">
        <v>0</v>
      </c>
      <c r="O342" s="477">
        <v>0</v>
      </c>
      <c r="P342" s="48"/>
      <c r="Q342" s="48"/>
      <c r="R342" s="31"/>
      <c r="S342" s="506"/>
    </row>
    <row r="343" spans="1:19" s="143" customFormat="1" ht="15" customHeight="1">
      <c r="A343" s="457"/>
      <c r="B343" s="284"/>
      <c r="C343" s="518"/>
      <c r="D343" s="653"/>
      <c r="E343" s="653"/>
      <c r="F343" s="653"/>
      <c r="G343" s="654"/>
      <c r="H343" s="456"/>
      <c r="I343" s="457"/>
      <c r="J343" s="457"/>
      <c r="K343" s="576"/>
      <c r="L343" s="467"/>
      <c r="M343" s="41" t="s">
        <v>300</v>
      </c>
      <c r="N343" s="29">
        <v>170890</v>
      </c>
      <c r="O343" s="477">
        <f>176964-O347</f>
        <v>175761</v>
      </c>
      <c r="P343" s="48"/>
      <c r="Q343" s="48"/>
      <c r="R343" s="31"/>
      <c r="S343" s="506"/>
    </row>
    <row r="344" spans="1:19" s="143" customFormat="1" ht="15" customHeight="1">
      <c r="A344" s="457"/>
      <c r="B344" s="284"/>
      <c r="C344" s="518"/>
      <c r="D344" s="653"/>
      <c r="E344" s="653"/>
      <c r="F344" s="653"/>
      <c r="G344" s="654"/>
      <c r="H344" s="456"/>
      <c r="I344" s="457"/>
      <c r="J344" s="457"/>
      <c r="K344" s="576"/>
      <c r="L344" s="467"/>
      <c r="M344" s="110" t="s">
        <v>301</v>
      </c>
      <c r="N344" s="478">
        <f>SUM(N341:N343)</f>
        <v>416438</v>
      </c>
      <c r="O344" s="479">
        <f>SUM(O341:O343)</f>
        <v>425975</v>
      </c>
      <c r="P344" s="479">
        <f>SUM(P341:P343)</f>
        <v>0</v>
      </c>
      <c r="Q344" s="479">
        <f>SUM(Q341:Q343)</f>
        <v>0</v>
      </c>
      <c r="R344" s="480">
        <f>SUM(R341:R343)</f>
        <v>0</v>
      </c>
      <c r="S344" s="506"/>
    </row>
    <row r="345" spans="1:19" s="143" customFormat="1" ht="14.25" customHeight="1">
      <c r="A345" s="683">
        <v>85295</v>
      </c>
      <c r="B345" s="284"/>
      <c r="C345" s="518"/>
      <c r="D345" s="653"/>
      <c r="E345" s="653"/>
      <c r="F345" s="653"/>
      <c r="G345" s="654"/>
      <c r="H345" s="456"/>
      <c r="I345" s="687" t="s">
        <v>449</v>
      </c>
      <c r="J345" s="687" t="s">
        <v>327</v>
      </c>
      <c r="K345" s="674">
        <v>13728</v>
      </c>
      <c r="L345" s="471" t="s">
        <v>297</v>
      </c>
      <c r="M345" s="290" t="s">
        <v>298</v>
      </c>
      <c r="N345" s="29">
        <v>5012</v>
      </c>
      <c r="O345" s="477">
        <v>3997</v>
      </c>
      <c r="P345" s="48"/>
      <c r="Q345" s="48"/>
      <c r="R345" s="31"/>
      <c r="S345" s="573">
        <v>13728</v>
      </c>
    </row>
    <row r="346" spans="1:19" s="143" customFormat="1" ht="15" customHeight="1" hidden="1">
      <c r="A346" s="457"/>
      <c r="B346" s="284"/>
      <c r="C346" s="518"/>
      <c r="D346" s="653"/>
      <c r="E346" s="653"/>
      <c r="F346" s="653"/>
      <c r="G346" s="654"/>
      <c r="H346" s="456"/>
      <c r="I346" s="457"/>
      <c r="J346" s="457"/>
      <c r="K346" s="576"/>
      <c r="L346" s="467"/>
      <c r="M346" s="41" t="s">
        <v>299</v>
      </c>
      <c r="N346" s="29">
        <v>0</v>
      </c>
      <c r="O346" s="477">
        <v>0</v>
      </c>
      <c r="P346" s="48"/>
      <c r="Q346" s="48"/>
      <c r="R346" s="31"/>
      <c r="S346" s="506"/>
    </row>
    <row r="347" spans="1:19" s="143" customFormat="1" ht="15" customHeight="1">
      <c r="A347" s="457"/>
      <c r="B347" s="284"/>
      <c r="C347" s="518"/>
      <c r="D347" s="653"/>
      <c r="E347" s="653"/>
      <c r="F347" s="653"/>
      <c r="G347" s="654"/>
      <c r="H347" s="456"/>
      <c r="I347" s="457"/>
      <c r="J347" s="457"/>
      <c r="K347" s="576"/>
      <c r="L347" s="467"/>
      <c r="M347" s="41" t="s">
        <v>300</v>
      </c>
      <c r="N347" s="29">
        <v>3516</v>
      </c>
      <c r="O347" s="477">
        <v>1203</v>
      </c>
      <c r="P347" s="48"/>
      <c r="Q347" s="48"/>
      <c r="R347" s="31"/>
      <c r="S347" s="506"/>
    </row>
    <row r="348" spans="1:19" s="143" customFormat="1" ht="15" customHeight="1">
      <c r="A348" s="684"/>
      <c r="B348" s="284"/>
      <c r="C348" s="518"/>
      <c r="D348" s="653"/>
      <c r="E348" s="653"/>
      <c r="F348" s="653"/>
      <c r="G348" s="654"/>
      <c r="H348" s="456"/>
      <c r="I348" s="684"/>
      <c r="J348" s="684"/>
      <c r="K348" s="675"/>
      <c r="L348" s="466"/>
      <c r="M348" s="13" t="s">
        <v>301</v>
      </c>
      <c r="N348" s="25">
        <f>SUM(N345:N347)</f>
        <v>8528</v>
      </c>
      <c r="O348" s="17">
        <f>SUM(O345:O347)</f>
        <v>5200</v>
      </c>
      <c r="P348" s="17">
        <f>SUM(P345:P347)</f>
        <v>0</v>
      </c>
      <c r="Q348" s="17">
        <f>SUM(Q345:Q347)</f>
        <v>0</v>
      </c>
      <c r="R348" s="26">
        <f>SUM(R345:R347)</f>
        <v>0</v>
      </c>
      <c r="S348" s="574"/>
    </row>
    <row r="349" spans="1:19" s="143" customFormat="1" ht="15" customHeight="1">
      <c r="A349" s="465">
        <v>85295</v>
      </c>
      <c r="B349" s="284"/>
      <c r="C349" s="518"/>
      <c r="D349" s="653"/>
      <c r="E349" s="653"/>
      <c r="F349" s="653"/>
      <c r="G349" s="654"/>
      <c r="H349" s="456"/>
      <c r="I349" s="456" t="s">
        <v>450</v>
      </c>
      <c r="J349" s="456" t="s">
        <v>327</v>
      </c>
      <c r="K349" s="575">
        <f>SUM(K341:K348)</f>
        <v>856141</v>
      </c>
      <c r="L349" s="461" t="s">
        <v>301</v>
      </c>
      <c r="M349" s="290" t="s">
        <v>298</v>
      </c>
      <c r="N349" s="27">
        <f aca="true" t="shared" si="15" ref="N349:S350">N341+N345</f>
        <v>250560</v>
      </c>
      <c r="O349" s="49">
        <f t="shared" si="15"/>
        <v>254211</v>
      </c>
      <c r="P349" s="49">
        <f t="shared" si="15"/>
        <v>0</v>
      </c>
      <c r="Q349" s="49">
        <f t="shared" si="15"/>
        <v>0</v>
      </c>
      <c r="R349" s="50">
        <f t="shared" si="15"/>
        <v>0</v>
      </c>
      <c r="S349" s="506">
        <f t="shared" si="15"/>
        <v>856141</v>
      </c>
    </row>
    <row r="350" spans="1:19" s="143" customFormat="1" ht="15" customHeight="1" hidden="1">
      <c r="A350" s="457"/>
      <c r="B350" s="284"/>
      <c r="C350" s="518"/>
      <c r="D350" s="653"/>
      <c r="E350" s="653"/>
      <c r="F350" s="653"/>
      <c r="G350" s="654"/>
      <c r="H350" s="456"/>
      <c r="I350" s="457"/>
      <c r="J350" s="457"/>
      <c r="K350" s="576"/>
      <c r="L350" s="467"/>
      <c r="M350" s="41" t="s">
        <v>299</v>
      </c>
      <c r="N350" s="27">
        <f t="shared" si="15"/>
        <v>0</v>
      </c>
      <c r="O350" s="49">
        <f t="shared" si="15"/>
        <v>0</v>
      </c>
      <c r="P350" s="49">
        <f t="shared" si="15"/>
        <v>0</v>
      </c>
      <c r="Q350" s="49">
        <f t="shared" si="15"/>
        <v>0</v>
      </c>
      <c r="R350" s="50">
        <f t="shared" si="15"/>
        <v>0</v>
      </c>
      <c r="S350" s="506"/>
    </row>
    <row r="351" spans="1:19" s="143" customFormat="1" ht="15" customHeight="1">
      <c r="A351" s="457"/>
      <c r="B351" s="284"/>
      <c r="C351" s="518"/>
      <c r="D351" s="653"/>
      <c r="E351" s="653"/>
      <c r="F351" s="653"/>
      <c r="G351" s="654"/>
      <c r="H351" s="456"/>
      <c r="I351" s="457"/>
      <c r="J351" s="457"/>
      <c r="K351" s="576"/>
      <c r="L351" s="467"/>
      <c r="M351" s="41" t="s">
        <v>300</v>
      </c>
      <c r="N351" s="29">
        <f>N343+N347</f>
        <v>174406</v>
      </c>
      <c r="O351" s="48">
        <f>O343+O347</f>
        <v>176964</v>
      </c>
      <c r="P351" s="48">
        <f>P343+P347</f>
        <v>0</v>
      </c>
      <c r="Q351" s="48">
        <f>Q343+Q347</f>
        <v>0</v>
      </c>
      <c r="R351" s="31">
        <f>R343+R347</f>
        <v>0</v>
      </c>
      <c r="S351" s="506"/>
    </row>
    <row r="352" spans="1:19" s="143" customFormat="1" ht="15" customHeight="1" thickBot="1">
      <c r="A352" s="458"/>
      <c r="B352" s="284"/>
      <c r="C352" s="519"/>
      <c r="D352" s="655"/>
      <c r="E352" s="655"/>
      <c r="F352" s="655"/>
      <c r="G352" s="656"/>
      <c r="H352" s="535"/>
      <c r="I352" s="458"/>
      <c r="J352" s="458"/>
      <c r="K352" s="577"/>
      <c r="L352" s="469"/>
      <c r="M352" s="282" t="s">
        <v>301</v>
      </c>
      <c r="N352" s="280">
        <f>SUM(N349:N351)</f>
        <v>424966</v>
      </c>
      <c r="O352" s="21">
        <f>SUM(O349:O351)</f>
        <v>431175</v>
      </c>
      <c r="P352" s="21">
        <f>SUM(P349:P351)</f>
        <v>0</v>
      </c>
      <c r="Q352" s="21">
        <f>SUM(Q349:Q351)</f>
        <v>0</v>
      </c>
      <c r="R352" s="292">
        <f>SUM(R349:R351)</f>
        <v>0</v>
      </c>
      <c r="S352" s="507"/>
    </row>
    <row r="353" spans="1:19" s="37" customFormat="1" ht="63.75" customHeight="1" thickBot="1">
      <c r="A353" s="196"/>
      <c r="B353" s="105"/>
      <c r="C353" s="526" t="s">
        <v>229</v>
      </c>
      <c r="D353" s="527"/>
      <c r="E353" s="527"/>
      <c r="F353" s="527"/>
      <c r="G353" s="527"/>
      <c r="H353" s="527"/>
      <c r="I353" s="527"/>
      <c r="J353" s="527"/>
      <c r="K353" s="527"/>
      <c r="L353" s="527"/>
      <c r="M353" s="196"/>
      <c r="N353" s="196"/>
      <c r="O353" s="196"/>
      <c r="P353" s="196"/>
      <c r="Q353" s="196"/>
      <c r="R353" s="196"/>
      <c r="S353" s="198"/>
    </row>
    <row r="354" spans="1:19" s="143" customFormat="1" ht="20.25" customHeight="1">
      <c r="A354" s="528">
        <v>85295</v>
      </c>
      <c r="B354" s="284"/>
      <c r="C354" s="518"/>
      <c r="D354" s="522" t="s">
        <v>230</v>
      </c>
      <c r="E354" s="522"/>
      <c r="F354" s="522"/>
      <c r="G354" s="523"/>
      <c r="H354" s="467" t="s">
        <v>231</v>
      </c>
      <c r="I354" s="467" t="s">
        <v>232</v>
      </c>
      <c r="J354" s="467" t="s">
        <v>327</v>
      </c>
      <c r="K354" s="468">
        <v>292400</v>
      </c>
      <c r="L354" s="508" t="s">
        <v>297</v>
      </c>
      <c r="M354" s="142" t="s">
        <v>298</v>
      </c>
      <c r="N354" s="27">
        <v>121024</v>
      </c>
      <c r="O354" s="28">
        <v>127516</v>
      </c>
      <c r="P354" s="28"/>
      <c r="Q354" s="28"/>
      <c r="R354" s="28"/>
      <c r="S354" s="505">
        <v>292400</v>
      </c>
    </row>
    <row r="355" spans="1:19" s="143" customFormat="1" ht="20.25" customHeight="1">
      <c r="A355" s="509"/>
      <c r="B355" s="284"/>
      <c r="C355" s="518"/>
      <c r="D355" s="522"/>
      <c r="E355" s="522"/>
      <c r="F355" s="522"/>
      <c r="G355" s="523"/>
      <c r="H355" s="509"/>
      <c r="I355" s="509"/>
      <c r="J355" s="509"/>
      <c r="K355" s="512"/>
      <c r="L355" s="467"/>
      <c r="M355" s="41" t="s">
        <v>299</v>
      </c>
      <c r="N355" s="10">
        <v>0</v>
      </c>
      <c r="O355" s="10">
        <v>0</v>
      </c>
      <c r="P355" s="10"/>
      <c r="Q355" s="10"/>
      <c r="R355" s="10"/>
      <c r="S355" s="506"/>
    </row>
    <row r="356" spans="1:19" s="143" customFormat="1" ht="20.25" customHeight="1">
      <c r="A356" s="509"/>
      <c r="B356" s="284"/>
      <c r="C356" s="518"/>
      <c r="D356" s="522"/>
      <c r="E356" s="522"/>
      <c r="F356" s="522"/>
      <c r="G356" s="523"/>
      <c r="H356" s="509"/>
      <c r="I356" s="509"/>
      <c r="J356" s="509"/>
      <c r="K356" s="512"/>
      <c r="L356" s="467"/>
      <c r="M356" s="41" t="s">
        <v>300</v>
      </c>
      <c r="N356" s="11">
        <v>21930</v>
      </c>
      <c r="O356" s="10">
        <v>21930</v>
      </c>
      <c r="P356" s="10"/>
      <c r="Q356" s="10"/>
      <c r="R356" s="10"/>
      <c r="S356" s="506"/>
    </row>
    <row r="357" spans="1:19" s="143" customFormat="1" ht="20.25" customHeight="1" thickBot="1">
      <c r="A357" s="510"/>
      <c r="B357" s="284"/>
      <c r="C357" s="519"/>
      <c r="D357" s="524"/>
      <c r="E357" s="524"/>
      <c r="F357" s="524"/>
      <c r="G357" s="525"/>
      <c r="H357" s="510"/>
      <c r="I357" s="510"/>
      <c r="J357" s="510"/>
      <c r="K357" s="513"/>
      <c r="L357" s="469"/>
      <c r="M357" s="282" t="s">
        <v>301</v>
      </c>
      <c r="N357" s="280">
        <f>SUM(N354:N356)</f>
        <v>142954</v>
      </c>
      <c r="O357" s="283">
        <f>SUM(O354:O356)</f>
        <v>149446</v>
      </c>
      <c r="P357" s="283">
        <f>SUM(P354:P356)</f>
        <v>0</v>
      </c>
      <c r="Q357" s="283">
        <f>SUM(Q354:Q356)</f>
        <v>0</v>
      </c>
      <c r="R357" s="283">
        <f>SUM(R354:R356)</f>
        <v>0</v>
      </c>
      <c r="S357" s="507"/>
    </row>
    <row r="358" spans="1:19" s="37" customFormat="1" ht="20.25" customHeight="1" thickBot="1">
      <c r="A358" s="196"/>
      <c r="B358" s="105"/>
      <c r="C358" s="197" t="s">
        <v>412</v>
      </c>
      <c r="D358" s="196"/>
      <c r="E358" s="196"/>
      <c r="F358" s="196"/>
      <c r="G358" s="196"/>
      <c r="H358" s="196"/>
      <c r="I358" s="196"/>
      <c r="J358" s="196"/>
      <c r="K358" s="207"/>
      <c r="L358" s="196"/>
      <c r="M358" s="196"/>
      <c r="N358" s="196"/>
      <c r="O358" s="196"/>
      <c r="P358" s="196"/>
      <c r="Q358" s="196"/>
      <c r="R358" s="196"/>
      <c r="S358" s="198"/>
    </row>
    <row r="359" spans="1:19" s="143" customFormat="1" ht="15" customHeight="1">
      <c r="A359" s="528" t="s">
        <v>413</v>
      </c>
      <c r="B359" s="284"/>
      <c r="C359" s="518"/>
      <c r="D359" s="522" t="s">
        <v>414</v>
      </c>
      <c r="E359" s="522"/>
      <c r="F359" s="522"/>
      <c r="G359" s="523"/>
      <c r="H359" s="467" t="s">
        <v>415</v>
      </c>
      <c r="I359" s="467" t="s">
        <v>416</v>
      </c>
      <c r="J359" s="467" t="s">
        <v>306</v>
      </c>
      <c r="K359" s="468">
        <v>14786042</v>
      </c>
      <c r="L359" s="508" t="s">
        <v>297</v>
      </c>
      <c r="M359" s="142" t="s">
        <v>298</v>
      </c>
      <c r="N359" s="27">
        <f>2013409+2236591</f>
        <v>4250000</v>
      </c>
      <c r="O359" s="28"/>
      <c r="P359" s="28"/>
      <c r="Q359" s="28"/>
      <c r="R359" s="28"/>
      <c r="S359" s="505">
        <v>0</v>
      </c>
    </row>
    <row r="360" spans="1:19" s="143" customFormat="1" ht="15" customHeight="1">
      <c r="A360" s="509"/>
      <c r="B360" s="284"/>
      <c r="C360" s="518"/>
      <c r="D360" s="522"/>
      <c r="E360" s="522"/>
      <c r="F360" s="522"/>
      <c r="G360" s="523"/>
      <c r="H360" s="509"/>
      <c r="I360" s="509"/>
      <c r="J360" s="509"/>
      <c r="K360" s="512"/>
      <c r="L360" s="467"/>
      <c r="M360" s="41" t="s">
        <v>299</v>
      </c>
      <c r="N360" s="10">
        <f>106591+118409</f>
        <v>225000</v>
      </c>
      <c r="O360" s="10"/>
      <c r="P360" s="10"/>
      <c r="Q360" s="10"/>
      <c r="R360" s="10"/>
      <c r="S360" s="506"/>
    </row>
    <row r="361" spans="1:19" s="143" customFormat="1" ht="15" customHeight="1">
      <c r="A361" s="509"/>
      <c r="B361" s="284"/>
      <c r="C361" s="518"/>
      <c r="D361" s="522"/>
      <c r="E361" s="522"/>
      <c r="F361" s="522"/>
      <c r="G361" s="523"/>
      <c r="H361" s="509"/>
      <c r="I361" s="509"/>
      <c r="J361" s="509"/>
      <c r="K361" s="512"/>
      <c r="L361" s="467"/>
      <c r="M361" s="41" t="s">
        <v>300</v>
      </c>
      <c r="N361" s="11">
        <v>525000</v>
      </c>
      <c r="O361" s="10"/>
      <c r="P361" s="10"/>
      <c r="Q361" s="10"/>
      <c r="R361" s="10"/>
      <c r="S361" s="506"/>
    </row>
    <row r="362" spans="1:19" s="143" customFormat="1" ht="15" customHeight="1" thickBot="1">
      <c r="A362" s="510"/>
      <c r="B362" s="284"/>
      <c r="C362" s="519"/>
      <c r="D362" s="524"/>
      <c r="E362" s="524"/>
      <c r="F362" s="524"/>
      <c r="G362" s="525"/>
      <c r="H362" s="510"/>
      <c r="I362" s="510"/>
      <c r="J362" s="510"/>
      <c r="K362" s="513"/>
      <c r="L362" s="466"/>
      <c r="M362" s="13" t="s">
        <v>301</v>
      </c>
      <c r="N362" s="280">
        <f>SUM(N359:N361)</f>
        <v>5000000</v>
      </c>
      <c r="O362" s="279">
        <f>SUM(O359:O361)</f>
        <v>0</v>
      </c>
      <c r="P362" s="279">
        <f>SUM(P359:P361)</f>
        <v>0</v>
      </c>
      <c r="Q362" s="279">
        <f>SUM(Q359:Q361)</f>
        <v>0</v>
      </c>
      <c r="R362" s="279">
        <f>SUM(R359:R361)</f>
        <v>0</v>
      </c>
      <c r="S362" s="507"/>
    </row>
    <row r="363" spans="1:19" s="37" customFormat="1" ht="20.25" customHeight="1" thickBot="1">
      <c r="A363" s="196"/>
      <c r="B363" s="105"/>
      <c r="C363" s="197" t="s">
        <v>410</v>
      </c>
      <c r="D363" s="196"/>
      <c r="E363" s="196"/>
      <c r="F363" s="196"/>
      <c r="G363" s="196"/>
      <c r="H363" s="196"/>
      <c r="I363" s="196"/>
      <c r="J363" s="196"/>
      <c r="K363" s="207"/>
      <c r="L363" s="196"/>
      <c r="M363" s="196"/>
      <c r="N363" s="196"/>
      <c r="O363" s="196"/>
      <c r="P363" s="196"/>
      <c r="Q363" s="196"/>
      <c r="R363" s="196"/>
      <c r="S363" s="198"/>
    </row>
    <row r="364" spans="1:19" s="143" customFormat="1" ht="15" customHeight="1">
      <c r="A364" s="462">
        <v>85395</v>
      </c>
      <c r="B364" s="284"/>
      <c r="C364" s="517"/>
      <c r="D364" s="520" t="s">
        <v>145</v>
      </c>
      <c r="E364" s="520"/>
      <c r="F364" s="520"/>
      <c r="G364" s="520"/>
      <c r="H364" s="508" t="s">
        <v>411</v>
      </c>
      <c r="I364" s="508" t="s">
        <v>295</v>
      </c>
      <c r="J364" s="508" t="s">
        <v>347</v>
      </c>
      <c r="K364" s="511">
        <v>1796348</v>
      </c>
      <c r="L364" s="508" t="s">
        <v>297</v>
      </c>
      <c r="M364" s="142" t="s">
        <v>298</v>
      </c>
      <c r="N364" s="27">
        <f>505948-N368</f>
        <v>353984</v>
      </c>
      <c r="O364" s="28"/>
      <c r="P364" s="28"/>
      <c r="Q364" s="28"/>
      <c r="R364" s="28"/>
      <c r="S364" s="505">
        <v>0</v>
      </c>
    </row>
    <row r="365" spans="1:19" s="143" customFormat="1" ht="15" customHeight="1">
      <c r="A365" s="463"/>
      <c r="B365" s="284"/>
      <c r="C365" s="518"/>
      <c r="D365" s="522"/>
      <c r="E365" s="522"/>
      <c r="F365" s="522"/>
      <c r="G365" s="522"/>
      <c r="H365" s="467"/>
      <c r="I365" s="467"/>
      <c r="J365" s="467"/>
      <c r="K365" s="468"/>
      <c r="L365" s="467"/>
      <c r="M365" s="41" t="s">
        <v>299</v>
      </c>
      <c r="N365" s="10">
        <f>89285-N369</f>
        <v>62468</v>
      </c>
      <c r="O365" s="10"/>
      <c r="P365" s="10"/>
      <c r="Q365" s="10"/>
      <c r="R365" s="10"/>
      <c r="S365" s="506"/>
    </row>
    <row r="366" spans="1:19" s="143" customFormat="1" ht="15" customHeight="1" hidden="1">
      <c r="A366" s="463"/>
      <c r="B366" s="284"/>
      <c r="C366" s="518"/>
      <c r="D366" s="522"/>
      <c r="E366" s="522"/>
      <c r="F366" s="522"/>
      <c r="G366" s="522"/>
      <c r="H366" s="467"/>
      <c r="I366" s="467"/>
      <c r="J366" s="467"/>
      <c r="K366" s="468"/>
      <c r="L366" s="467"/>
      <c r="M366" s="41" t="s">
        <v>300</v>
      </c>
      <c r="N366" s="11"/>
      <c r="O366" s="10"/>
      <c r="P366" s="10"/>
      <c r="Q366" s="10"/>
      <c r="R366" s="10"/>
      <c r="S366" s="506"/>
    </row>
    <row r="367" spans="1:19" s="143" customFormat="1" ht="15" customHeight="1">
      <c r="A367" s="463"/>
      <c r="B367" s="284"/>
      <c r="C367" s="518"/>
      <c r="D367" s="522"/>
      <c r="E367" s="522"/>
      <c r="F367" s="522"/>
      <c r="G367" s="522"/>
      <c r="H367" s="467"/>
      <c r="I367" s="467"/>
      <c r="J367" s="467"/>
      <c r="K367" s="468"/>
      <c r="L367" s="466"/>
      <c r="M367" s="110" t="s">
        <v>301</v>
      </c>
      <c r="N367" s="478">
        <f>SUM(N364:N366)</f>
        <v>416452</v>
      </c>
      <c r="O367" s="289">
        <f>SUM(O364:O366)</f>
        <v>0</v>
      </c>
      <c r="P367" s="289">
        <f>SUM(P364:P366)</f>
        <v>0</v>
      </c>
      <c r="Q367" s="289">
        <f>SUM(Q364:Q366)</f>
        <v>0</v>
      </c>
      <c r="R367" s="289">
        <f>SUM(R364:R366)</f>
        <v>0</v>
      </c>
      <c r="S367" s="506"/>
    </row>
    <row r="368" spans="1:19" s="143" customFormat="1" ht="14.25" customHeight="1">
      <c r="A368" s="463"/>
      <c r="B368" s="284"/>
      <c r="C368" s="518"/>
      <c r="D368" s="522"/>
      <c r="E368" s="522"/>
      <c r="F368" s="522"/>
      <c r="G368" s="522"/>
      <c r="H368" s="467"/>
      <c r="I368" s="467"/>
      <c r="J368" s="467"/>
      <c r="K368" s="468"/>
      <c r="L368" s="471" t="s">
        <v>302</v>
      </c>
      <c r="M368" s="290" t="s">
        <v>298</v>
      </c>
      <c r="N368" s="29">
        <f>134964+17000</f>
        <v>151964</v>
      </c>
      <c r="O368" s="48"/>
      <c r="P368" s="48"/>
      <c r="Q368" s="48"/>
      <c r="R368" s="31"/>
      <c r="S368" s="506"/>
    </row>
    <row r="369" spans="1:19" s="143" customFormat="1" ht="15" customHeight="1">
      <c r="A369" s="463"/>
      <c r="B369" s="284"/>
      <c r="C369" s="518"/>
      <c r="D369" s="522"/>
      <c r="E369" s="522"/>
      <c r="F369" s="522"/>
      <c r="G369" s="522"/>
      <c r="H369" s="467"/>
      <c r="I369" s="467"/>
      <c r="J369" s="467"/>
      <c r="K369" s="468"/>
      <c r="L369" s="467"/>
      <c r="M369" s="41" t="s">
        <v>299</v>
      </c>
      <c r="N369" s="29">
        <f>23817+3000</f>
        <v>26817</v>
      </c>
      <c r="O369" s="48"/>
      <c r="P369" s="48"/>
      <c r="Q369" s="48"/>
      <c r="R369" s="31"/>
      <c r="S369" s="506"/>
    </row>
    <row r="370" spans="1:19" s="143" customFormat="1" ht="15" customHeight="1" hidden="1">
      <c r="A370" s="463"/>
      <c r="B370" s="284"/>
      <c r="C370" s="518"/>
      <c r="D370" s="522"/>
      <c r="E370" s="522"/>
      <c r="F370" s="522"/>
      <c r="G370" s="522"/>
      <c r="H370" s="467"/>
      <c r="I370" s="467"/>
      <c r="J370" s="467"/>
      <c r="K370" s="468"/>
      <c r="L370" s="467"/>
      <c r="M370" s="41" t="s">
        <v>300</v>
      </c>
      <c r="N370" s="29"/>
      <c r="O370" s="48"/>
      <c r="P370" s="48"/>
      <c r="Q370" s="48"/>
      <c r="R370" s="31"/>
      <c r="S370" s="506"/>
    </row>
    <row r="371" spans="1:19" s="143" customFormat="1" ht="15" customHeight="1">
      <c r="A371" s="463"/>
      <c r="B371" s="284"/>
      <c r="C371" s="518"/>
      <c r="D371" s="522"/>
      <c r="E371" s="522"/>
      <c r="F371" s="522"/>
      <c r="G371" s="522"/>
      <c r="H371" s="467"/>
      <c r="I371" s="467"/>
      <c r="J371" s="467"/>
      <c r="K371" s="468"/>
      <c r="L371" s="466"/>
      <c r="M371" s="13" t="s">
        <v>301</v>
      </c>
      <c r="N371" s="25">
        <f>SUM(N368:N370)</f>
        <v>178781</v>
      </c>
      <c r="O371" s="17">
        <f>SUM(O368:O370)</f>
        <v>0</v>
      </c>
      <c r="P371" s="17">
        <f>SUM(P368:P370)</f>
        <v>0</v>
      </c>
      <c r="Q371" s="17">
        <f>SUM(Q368:Q370)</f>
        <v>0</v>
      </c>
      <c r="R371" s="26">
        <f>SUM(R368:R370)</f>
        <v>0</v>
      </c>
      <c r="S371" s="506"/>
    </row>
    <row r="372" spans="1:19" s="143" customFormat="1" ht="15" customHeight="1">
      <c r="A372" s="463"/>
      <c r="B372" s="284"/>
      <c r="C372" s="518"/>
      <c r="D372" s="522"/>
      <c r="E372" s="522"/>
      <c r="F372" s="522"/>
      <c r="G372" s="522"/>
      <c r="H372" s="467"/>
      <c r="I372" s="467"/>
      <c r="J372" s="467"/>
      <c r="K372" s="468"/>
      <c r="L372" s="461" t="s">
        <v>301</v>
      </c>
      <c r="M372" s="142" t="s">
        <v>298</v>
      </c>
      <c r="N372" s="27">
        <f>N364+N368</f>
        <v>505948</v>
      </c>
      <c r="O372" s="49">
        <f>O364+O368</f>
        <v>0</v>
      </c>
      <c r="P372" s="49">
        <f>P364+P368</f>
        <v>0</v>
      </c>
      <c r="Q372" s="49">
        <f>Q364+Q368</f>
        <v>0</v>
      </c>
      <c r="R372" s="50">
        <f>R364+R368</f>
        <v>0</v>
      </c>
      <c r="S372" s="506"/>
    </row>
    <row r="373" spans="1:19" s="143" customFormat="1" ht="15" customHeight="1">
      <c r="A373" s="463"/>
      <c r="B373" s="284"/>
      <c r="C373" s="518"/>
      <c r="D373" s="522"/>
      <c r="E373" s="522"/>
      <c r="F373" s="522"/>
      <c r="G373" s="522"/>
      <c r="H373" s="467"/>
      <c r="I373" s="467"/>
      <c r="J373" s="467"/>
      <c r="K373" s="468"/>
      <c r="L373" s="467"/>
      <c r="M373" s="41" t="s">
        <v>299</v>
      </c>
      <c r="N373" s="29">
        <f aca="true" t="shared" si="16" ref="N373:P374">N365+N369</f>
        <v>89285</v>
      </c>
      <c r="O373" s="48">
        <f t="shared" si="16"/>
        <v>0</v>
      </c>
      <c r="P373" s="48">
        <f t="shared" si="16"/>
        <v>0</v>
      </c>
      <c r="Q373" s="48"/>
      <c r="R373" s="31"/>
      <c r="S373" s="506"/>
    </row>
    <row r="374" spans="1:19" s="143" customFormat="1" ht="15" customHeight="1" hidden="1">
      <c r="A374" s="463"/>
      <c r="B374" s="284"/>
      <c r="C374" s="518"/>
      <c r="D374" s="522"/>
      <c r="E374" s="522"/>
      <c r="F374" s="522"/>
      <c r="G374" s="522"/>
      <c r="H374" s="467"/>
      <c r="I374" s="467"/>
      <c r="J374" s="467"/>
      <c r="K374" s="468"/>
      <c r="L374" s="467"/>
      <c r="M374" s="41" t="s">
        <v>300</v>
      </c>
      <c r="N374" s="29">
        <f t="shared" si="16"/>
        <v>0</v>
      </c>
      <c r="O374" s="48">
        <f t="shared" si="16"/>
        <v>0</v>
      </c>
      <c r="P374" s="48">
        <f t="shared" si="16"/>
        <v>0</v>
      </c>
      <c r="Q374" s="48">
        <f>Q366+Q370</f>
        <v>0</v>
      </c>
      <c r="R374" s="31">
        <f>R366+R370</f>
        <v>0</v>
      </c>
      <c r="S374" s="506"/>
    </row>
    <row r="375" spans="1:19" s="143" customFormat="1" ht="15" customHeight="1" thickBot="1">
      <c r="A375" s="464"/>
      <c r="B375" s="284"/>
      <c r="C375" s="519"/>
      <c r="D375" s="524"/>
      <c r="E375" s="524"/>
      <c r="F375" s="524"/>
      <c r="G375" s="524"/>
      <c r="H375" s="469"/>
      <c r="I375" s="469"/>
      <c r="J375" s="469"/>
      <c r="K375" s="470"/>
      <c r="L375" s="469"/>
      <c r="M375" s="13" t="s">
        <v>301</v>
      </c>
      <c r="N375" s="280">
        <f>SUM(N372:N374)</f>
        <v>595233</v>
      </c>
      <c r="O375" s="21">
        <f>SUM(O372:O374)</f>
        <v>0</v>
      </c>
      <c r="P375" s="21">
        <f>SUM(P372:P374)</f>
        <v>0</v>
      </c>
      <c r="Q375" s="21">
        <f>SUM(Q372:Q374)</f>
        <v>0</v>
      </c>
      <c r="R375" s="292">
        <f>SUM(R372:R374)</f>
        <v>0</v>
      </c>
      <c r="S375" s="507"/>
    </row>
    <row r="376" spans="1:19" s="37" customFormat="1" ht="20.25" customHeight="1" thickBot="1">
      <c r="A376" s="196"/>
      <c r="B376" s="105"/>
      <c r="C376" s="197" t="s">
        <v>417</v>
      </c>
      <c r="D376" s="196"/>
      <c r="E376" s="196"/>
      <c r="F376" s="196"/>
      <c r="G376" s="196"/>
      <c r="H376" s="196"/>
      <c r="I376" s="196"/>
      <c r="J376" s="196"/>
      <c r="K376" s="207"/>
      <c r="L376" s="196"/>
      <c r="M376" s="196"/>
      <c r="N376" s="196"/>
      <c r="O376" s="196"/>
      <c r="P376" s="196"/>
      <c r="Q376" s="196"/>
      <c r="R376" s="196"/>
      <c r="S376" s="198"/>
    </row>
    <row r="377" spans="1:19" s="143" customFormat="1" ht="15" customHeight="1">
      <c r="A377" s="640">
        <v>85395</v>
      </c>
      <c r="B377" s="284"/>
      <c r="C377" s="545"/>
      <c r="D377" s="520" t="s">
        <v>146</v>
      </c>
      <c r="E377" s="520"/>
      <c r="F377" s="520"/>
      <c r="G377" s="521"/>
      <c r="H377" s="508" t="s">
        <v>418</v>
      </c>
      <c r="I377" s="508" t="s">
        <v>295</v>
      </c>
      <c r="J377" s="508" t="s">
        <v>370</v>
      </c>
      <c r="K377" s="639">
        <v>17749439</v>
      </c>
      <c r="L377" s="508" t="s">
        <v>297</v>
      </c>
      <c r="M377" s="248" t="s">
        <v>298</v>
      </c>
      <c r="N377" s="8">
        <v>10249013</v>
      </c>
      <c r="O377" s="9">
        <v>2052586</v>
      </c>
      <c r="P377" s="9">
        <v>228548</v>
      </c>
      <c r="Q377" s="9"/>
      <c r="R377" s="9"/>
      <c r="S377" s="641">
        <v>17664199</v>
      </c>
    </row>
    <row r="378" spans="1:19" s="143" customFormat="1" ht="15" customHeight="1">
      <c r="A378" s="584"/>
      <c r="B378" s="284"/>
      <c r="C378" s="546"/>
      <c r="D378" s="522"/>
      <c r="E378" s="522"/>
      <c r="F378" s="522"/>
      <c r="G378" s="523"/>
      <c r="H378" s="467"/>
      <c r="I378" s="467"/>
      <c r="J378" s="467"/>
      <c r="K378" s="453"/>
      <c r="L378" s="467"/>
      <c r="M378" s="41" t="s">
        <v>299</v>
      </c>
      <c r="N378" s="10">
        <v>1808650</v>
      </c>
      <c r="O378" s="10">
        <v>362221</v>
      </c>
      <c r="P378" s="10">
        <v>40332</v>
      </c>
      <c r="Q378" s="10"/>
      <c r="R378" s="10"/>
      <c r="S378" s="642"/>
    </row>
    <row r="379" spans="1:19" s="143" customFormat="1" ht="15" customHeight="1">
      <c r="A379" s="584"/>
      <c r="B379" s="284"/>
      <c r="C379" s="546"/>
      <c r="D379" s="522"/>
      <c r="E379" s="522"/>
      <c r="F379" s="522"/>
      <c r="G379" s="523"/>
      <c r="H379" s="467"/>
      <c r="I379" s="467"/>
      <c r="J379" s="467"/>
      <c r="K379" s="453"/>
      <c r="L379" s="467"/>
      <c r="M379" s="41" t="s">
        <v>300</v>
      </c>
      <c r="N379" s="11">
        <v>2229334</v>
      </c>
      <c r="O379" s="10">
        <v>446193</v>
      </c>
      <c r="P379" s="10">
        <v>49682</v>
      </c>
      <c r="Q379" s="10"/>
      <c r="R379" s="10"/>
      <c r="S379" s="642"/>
    </row>
    <row r="380" spans="1:19" s="143" customFormat="1" ht="15" customHeight="1">
      <c r="A380" s="584"/>
      <c r="B380" s="284"/>
      <c r="C380" s="546"/>
      <c r="D380" s="522"/>
      <c r="E380" s="522"/>
      <c r="F380" s="522"/>
      <c r="G380" s="523"/>
      <c r="H380" s="467"/>
      <c r="I380" s="467"/>
      <c r="J380" s="467"/>
      <c r="K380" s="453"/>
      <c r="L380" s="466"/>
      <c r="M380" s="13" t="s">
        <v>301</v>
      </c>
      <c r="N380" s="14">
        <f>SUM(N377:N379)</f>
        <v>14286997</v>
      </c>
      <c r="O380" s="289">
        <f>SUM(O377:O379)</f>
        <v>2861000</v>
      </c>
      <c r="P380" s="289">
        <f>SUM(P377:P379)</f>
        <v>318562</v>
      </c>
      <c r="Q380" s="289">
        <f>SUM(Q377:Q379)</f>
        <v>0</v>
      </c>
      <c r="R380" s="289">
        <f>SUM(R377:R379)</f>
        <v>0</v>
      </c>
      <c r="S380" s="642"/>
    </row>
    <row r="381" spans="1:19" s="143" customFormat="1" ht="15" customHeight="1">
      <c r="A381" s="584"/>
      <c r="B381" s="284"/>
      <c r="C381" s="546"/>
      <c r="D381" s="522"/>
      <c r="E381" s="522"/>
      <c r="F381" s="522"/>
      <c r="G381" s="523"/>
      <c r="H381" s="467"/>
      <c r="I381" s="467"/>
      <c r="J381" s="467"/>
      <c r="K381" s="453"/>
      <c r="L381" s="471" t="s">
        <v>302</v>
      </c>
      <c r="M381" s="291" t="s">
        <v>298</v>
      </c>
      <c r="N381" s="29">
        <v>142795</v>
      </c>
      <c r="O381" s="10"/>
      <c r="P381" s="10"/>
      <c r="Q381" s="10"/>
      <c r="R381" s="10"/>
      <c r="S381" s="642"/>
    </row>
    <row r="382" spans="1:19" s="143" customFormat="1" ht="15" customHeight="1">
      <c r="A382" s="584"/>
      <c r="B382" s="284"/>
      <c r="C382" s="546"/>
      <c r="D382" s="522"/>
      <c r="E382" s="522"/>
      <c r="F382" s="522"/>
      <c r="G382" s="523"/>
      <c r="H382" s="467"/>
      <c r="I382" s="467"/>
      <c r="J382" s="467"/>
      <c r="K382" s="453"/>
      <c r="L382" s="467"/>
      <c r="M382" s="41" t="s">
        <v>299</v>
      </c>
      <c r="N382" s="11">
        <v>25199</v>
      </c>
      <c r="O382" s="10"/>
      <c r="P382" s="10"/>
      <c r="Q382" s="10"/>
      <c r="R382" s="10"/>
      <c r="S382" s="642"/>
    </row>
    <row r="383" spans="1:19" s="143" customFormat="1" ht="15" customHeight="1">
      <c r="A383" s="584"/>
      <c r="B383" s="284"/>
      <c r="C383" s="546"/>
      <c r="D383" s="522"/>
      <c r="E383" s="522"/>
      <c r="F383" s="522"/>
      <c r="G383" s="523"/>
      <c r="H383" s="467"/>
      <c r="I383" s="467"/>
      <c r="J383" s="467"/>
      <c r="K383" s="453"/>
      <c r="L383" s="467"/>
      <c r="M383" s="41" t="s">
        <v>300</v>
      </c>
      <c r="N383" s="11">
        <v>29646</v>
      </c>
      <c r="O383" s="10"/>
      <c r="P383" s="10"/>
      <c r="Q383" s="10"/>
      <c r="R383" s="10"/>
      <c r="S383" s="642"/>
    </row>
    <row r="384" spans="1:19" s="143" customFormat="1" ht="15" customHeight="1">
      <c r="A384" s="584"/>
      <c r="B384" s="284"/>
      <c r="C384" s="546"/>
      <c r="D384" s="522"/>
      <c r="E384" s="522"/>
      <c r="F384" s="522"/>
      <c r="G384" s="523"/>
      <c r="H384" s="467"/>
      <c r="I384" s="467"/>
      <c r="J384" s="467"/>
      <c r="K384" s="453"/>
      <c r="L384" s="466"/>
      <c r="M384" s="15" t="s">
        <v>301</v>
      </c>
      <c r="N384" s="16">
        <f>SUM(N381:N383)</f>
        <v>197640</v>
      </c>
      <c r="O384" s="279">
        <f>SUM(O381:O383)</f>
        <v>0</v>
      </c>
      <c r="P384" s="279">
        <f>SUM(P381:P383)</f>
        <v>0</v>
      </c>
      <c r="Q384" s="279">
        <f>SUM(Q381:Q383)</f>
        <v>0</v>
      </c>
      <c r="R384" s="279">
        <f>SUM(R381:R383)</f>
        <v>0</v>
      </c>
      <c r="S384" s="642"/>
    </row>
    <row r="385" spans="1:19" s="303" customFormat="1" ht="15" customHeight="1">
      <c r="A385" s="584"/>
      <c r="B385" s="284"/>
      <c r="C385" s="546"/>
      <c r="D385" s="522"/>
      <c r="E385" s="522"/>
      <c r="F385" s="522"/>
      <c r="G385" s="523"/>
      <c r="H385" s="467"/>
      <c r="I385" s="467"/>
      <c r="J385" s="467"/>
      <c r="K385" s="453"/>
      <c r="L385" s="461" t="s">
        <v>301</v>
      </c>
      <c r="M385" s="291" t="s">
        <v>298</v>
      </c>
      <c r="N385" s="27">
        <f aca="true" t="shared" si="17" ref="N385:R387">N377+N381</f>
        <v>10391808</v>
      </c>
      <c r="O385" s="28">
        <f t="shared" si="17"/>
        <v>2052586</v>
      </c>
      <c r="P385" s="28">
        <f t="shared" si="17"/>
        <v>228548</v>
      </c>
      <c r="Q385" s="28">
        <f t="shared" si="17"/>
        <v>0</v>
      </c>
      <c r="R385" s="28">
        <f t="shared" si="17"/>
        <v>0</v>
      </c>
      <c r="S385" s="642"/>
    </row>
    <row r="386" spans="1:19" s="303" customFormat="1" ht="15" customHeight="1">
      <c r="A386" s="584"/>
      <c r="B386" s="284"/>
      <c r="C386" s="546"/>
      <c r="D386" s="522"/>
      <c r="E386" s="522"/>
      <c r="F386" s="522"/>
      <c r="G386" s="523"/>
      <c r="H386" s="467"/>
      <c r="I386" s="467"/>
      <c r="J386" s="467"/>
      <c r="K386" s="453"/>
      <c r="L386" s="467"/>
      <c r="M386" s="41" t="s">
        <v>299</v>
      </c>
      <c r="N386" s="10">
        <f t="shared" si="17"/>
        <v>1833849</v>
      </c>
      <c r="O386" s="10">
        <f t="shared" si="17"/>
        <v>362221</v>
      </c>
      <c r="P386" s="10">
        <f t="shared" si="17"/>
        <v>40332</v>
      </c>
      <c r="Q386" s="10">
        <f t="shared" si="17"/>
        <v>0</v>
      </c>
      <c r="R386" s="10">
        <f t="shared" si="17"/>
        <v>0</v>
      </c>
      <c r="S386" s="642"/>
    </row>
    <row r="387" spans="1:19" s="303" customFormat="1" ht="15" customHeight="1">
      <c r="A387" s="584"/>
      <c r="B387" s="284"/>
      <c r="C387" s="546"/>
      <c r="D387" s="522"/>
      <c r="E387" s="522"/>
      <c r="F387" s="522"/>
      <c r="G387" s="523"/>
      <c r="H387" s="467"/>
      <c r="I387" s="467"/>
      <c r="J387" s="467"/>
      <c r="K387" s="453"/>
      <c r="L387" s="467"/>
      <c r="M387" s="41" t="s">
        <v>300</v>
      </c>
      <c r="N387" s="11">
        <f t="shared" si="17"/>
        <v>2258980</v>
      </c>
      <c r="O387" s="10">
        <f t="shared" si="17"/>
        <v>446193</v>
      </c>
      <c r="P387" s="10">
        <f t="shared" si="17"/>
        <v>49682</v>
      </c>
      <c r="Q387" s="10">
        <f t="shared" si="17"/>
        <v>0</v>
      </c>
      <c r="R387" s="10">
        <f t="shared" si="17"/>
        <v>0</v>
      </c>
      <c r="S387" s="642"/>
    </row>
    <row r="388" spans="1:19" s="304" customFormat="1" ht="15" customHeight="1" thickBot="1">
      <c r="A388" s="585"/>
      <c r="B388" s="284"/>
      <c r="C388" s="547"/>
      <c r="D388" s="524"/>
      <c r="E388" s="524"/>
      <c r="F388" s="524"/>
      <c r="G388" s="525"/>
      <c r="H388" s="469"/>
      <c r="I388" s="469"/>
      <c r="J388" s="469"/>
      <c r="K388" s="454"/>
      <c r="L388" s="469"/>
      <c r="M388" s="19" t="s">
        <v>301</v>
      </c>
      <c r="N388" s="20">
        <f>SUM(N385:N387)</f>
        <v>14484637</v>
      </c>
      <c r="O388" s="283">
        <f>SUM(O385:O387)</f>
        <v>2861000</v>
      </c>
      <c r="P388" s="283">
        <f>SUM(P385:P387)</f>
        <v>318562</v>
      </c>
      <c r="Q388" s="283">
        <f>SUM(Q385:Q387)</f>
        <v>0</v>
      </c>
      <c r="R388" s="283">
        <f>SUM(R385:R387)</f>
        <v>0</v>
      </c>
      <c r="S388" s="643"/>
    </row>
    <row r="389" spans="1:19" s="3" customFormat="1" ht="28.5" customHeight="1">
      <c r="A389" s="635"/>
      <c r="B389" s="271"/>
      <c r="C389" s="551" t="s">
        <v>517</v>
      </c>
      <c r="D389" s="594"/>
      <c r="E389" s="594"/>
      <c r="F389" s="594"/>
      <c r="G389" s="594"/>
      <c r="H389" s="594"/>
      <c r="I389" s="594"/>
      <c r="J389" s="595"/>
      <c r="K389" s="619">
        <f>K320+K326+K331+K336+K349+K364+K359+K377+K315+K354</f>
        <v>57174176</v>
      </c>
      <c r="L389" s="563" t="s">
        <v>297</v>
      </c>
      <c r="M389" s="111" t="s">
        <v>395</v>
      </c>
      <c r="N389" s="93">
        <f>N320+N326+N331+N336+N349+N364+N359+N377+N354</f>
        <v>18672109</v>
      </c>
      <c r="O389" s="94">
        <f aca="true" t="shared" si="18" ref="N389:R390">O320+O326+O331+O336+O349+O364+O359+O377+O354</f>
        <v>2434313</v>
      </c>
      <c r="P389" s="94">
        <f t="shared" si="18"/>
        <v>228548</v>
      </c>
      <c r="Q389" s="94">
        <f t="shared" si="18"/>
        <v>0</v>
      </c>
      <c r="R389" s="276">
        <f t="shared" si="18"/>
        <v>0</v>
      </c>
      <c r="S389" s="566">
        <f>S320+S326+S331+S336+S349+S364+S359+S377+S315+S354</f>
        <v>18812740</v>
      </c>
    </row>
    <row r="390" spans="1:19" s="3" customFormat="1" ht="15" customHeight="1">
      <c r="A390" s="636"/>
      <c r="B390" s="271"/>
      <c r="C390" s="593"/>
      <c r="D390" s="596"/>
      <c r="E390" s="596"/>
      <c r="F390" s="596"/>
      <c r="G390" s="596"/>
      <c r="H390" s="596"/>
      <c r="I390" s="596"/>
      <c r="J390" s="597"/>
      <c r="K390" s="620"/>
      <c r="L390" s="564"/>
      <c r="M390" s="251" t="s">
        <v>299</v>
      </c>
      <c r="N390" s="95">
        <f t="shared" si="18"/>
        <v>2255576</v>
      </c>
      <c r="O390" s="96">
        <f t="shared" si="18"/>
        <v>362221</v>
      </c>
      <c r="P390" s="96">
        <f t="shared" si="18"/>
        <v>40332</v>
      </c>
      <c r="Q390" s="96">
        <f t="shared" si="18"/>
        <v>0</v>
      </c>
      <c r="R390" s="277">
        <f t="shared" si="18"/>
        <v>0</v>
      </c>
      <c r="S390" s="567"/>
    </row>
    <row r="391" spans="1:19" s="3" customFormat="1" ht="15" customHeight="1">
      <c r="A391" s="636"/>
      <c r="B391" s="271"/>
      <c r="C391" s="593"/>
      <c r="D391" s="596"/>
      <c r="E391" s="596"/>
      <c r="F391" s="596"/>
      <c r="G391" s="596"/>
      <c r="H391" s="596"/>
      <c r="I391" s="596"/>
      <c r="J391" s="597"/>
      <c r="K391" s="620"/>
      <c r="L391" s="564"/>
      <c r="M391" s="251" t="s">
        <v>300</v>
      </c>
      <c r="N391" s="95">
        <f>N322+N328+N333+N351+N366+N361+N379+N356</f>
        <v>3394629</v>
      </c>
      <c r="O391" s="96">
        <f>O322+O328+O333+O351+O366+O361+O379+O356</f>
        <v>645087</v>
      </c>
      <c r="P391" s="96">
        <f>P322+P328+P333+P351+P366+P361+P379+P356</f>
        <v>49682</v>
      </c>
      <c r="Q391" s="96">
        <f>Q322+Q328+Q333+Q351+Q366+Q361+Q379+Q356</f>
        <v>0</v>
      </c>
      <c r="R391" s="277">
        <f>R322+R328+R333+R351+R366+R361+R379+R356</f>
        <v>0</v>
      </c>
      <c r="S391" s="567"/>
    </row>
    <row r="392" spans="1:19" s="3" customFormat="1" ht="28.5">
      <c r="A392" s="636"/>
      <c r="B392" s="271"/>
      <c r="C392" s="593"/>
      <c r="D392" s="596"/>
      <c r="E392" s="596"/>
      <c r="F392" s="596"/>
      <c r="G392" s="596"/>
      <c r="H392" s="596"/>
      <c r="I392" s="596"/>
      <c r="J392" s="597"/>
      <c r="K392" s="620"/>
      <c r="L392" s="564"/>
      <c r="M392" s="274" t="s">
        <v>446</v>
      </c>
      <c r="N392" s="95">
        <f>N323+N338</f>
        <v>322500</v>
      </c>
      <c r="O392" s="96">
        <f>O323+O338</f>
        <v>0</v>
      </c>
      <c r="P392" s="96">
        <f>P323+P338</f>
        <v>0</v>
      </c>
      <c r="Q392" s="96">
        <f>Q323+Q338</f>
        <v>0</v>
      </c>
      <c r="R392" s="277">
        <f>R323+R338</f>
        <v>0</v>
      </c>
      <c r="S392" s="567"/>
    </row>
    <row r="393" spans="1:19" s="3" customFormat="1" ht="15" customHeight="1">
      <c r="A393" s="636"/>
      <c r="B393" s="271"/>
      <c r="C393" s="593"/>
      <c r="D393" s="596"/>
      <c r="E393" s="596"/>
      <c r="F393" s="596"/>
      <c r="G393" s="596"/>
      <c r="H393" s="596"/>
      <c r="I393" s="596"/>
      <c r="J393" s="597"/>
      <c r="K393" s="620"/>
      <c r="L393" s="565"/>
      <c r="M393" s="267" t="s">
        <v>301</v>
      </c>
      <c r="N393" s="95">
        <f>SUM(N389:N392)</f>
        <v>24644814</v>
      </c>
      <c r="O393" s="96">
        <f>SUM(O389:O392)</f>
        <v>3441621</v>
      </c>
      <c r="P393" s="96">
        <f>SUM(P389:P392)</f>
        <v>318562</v>
      </c>
      <c r="Q393" s="96">
        <f>SUM(Q389:Q392)</f>
        <v>0</v>
      </c>
      <c r="R393" s="277">
        <f>SUM(R389:R392)</f>
        <v>0</v>
      </c>
      <c r="S393" s="567"/>
    </row>
    <row r="394" spans="1:19" s="3" customFormat="1" ht="15" customHeight="1">
      <c r="A394" s="636"/>
      <c r="B394" s="271"/>
      <c r="C394" s="593"/>
      <c r="D394" s="596"/>
      <c r="E394" s="596"/>
      <c r="F394" s="596"/>
      <c r="G394" s="596"/>
      <c r="H394" s="596"/>
      <c r="I394" s="596"/>
      <c r="J394" s="597"/>
      <c r="K394" s="620"/>
      <c r="L394" s="569" t="s">
        <v>302</v>
      </c>
      <c r="M394" s="250" t="s">
        <v>298</v>
      </c>
      <c r="N394" s="95">
        <f>N381+N368+N315</f>
        <v>9851259</v>
      </c>
      <c r="O394" s="96">
        <f aca="true" t="shared" si="19" ref="N394:R396">O381+O368+O315</f>
        <v>0</v>
      </c>
      <c r="P394" s="96">
        <f t="shared" si="19"/>
        <v>0</v>
      </c>
      <c r="Q394" s="96">
        <f t="shared" si="19"/>
        <v>0</v>
      </c>
      <c r="R394" s="277">
        <f t="shared" si="19"/>
        <v>0</v>
      </c>
      <c r="S394" s="567"/>
    </row>
    <row r="395" spans="1:19" s="3" customFormat="1" ht="15" customHeight="1">
      <c r="A395" s="636"/>
      <c r="B395" s="271"/>
      <c r="C395" s="593"/>
      <c r="D395" s="596"/>
      <c r="E395" s="596"/>
      <c r="F395" s="596"/>
      <c r="G395" s="596"/>
      <c r="H395" s="596"/>
      <c r="I395" s="596"/>
      <c r="J395" s="597"/>
      <c r="K395" s="620"/>
      <c r="L395" s="564"/>
      <c r="M395" s="251" t="s">
        <v>299</v>
      </c>
      <c r="N395" s="95">
        <f t="shared" si="19"/>
        <v>52016</v>
      </c>
      <c r="O395" s="96">
        <f t="shared" si="19"/>
        <v>0</v>
      </c>
      <c r="P395" s="96">
        <f t="shared" si="19"/>
        <v>0</v>
      </c>
      <c r="Q395" s="96">
        <f t="shared" si="19"/>
        <v>0</v>
      </c>
      <c r="R395" s="277">
        <f t="shared" si="19"/>
        <v>0</v>
      </c>
      <c r="S395" s="567"/>
    </row>
    <row r="396" spans="1:19" s="3" customFormat="1" ht="15" customHeight="1">
      <c r="A396" s="636"/>
      <c r="B396" s="271"/>
      <c r="C396" s="593"/>
      <c r="D396" s="596"/>
      <c r="E396" s="596"/>
      <c r="F396" s="596"/>
      <c r="G396" s="596"/>
      <c r="H396" s="596"/>
      <c r="I396" s="596"/>
      <c r="J396" s="597"/>
      <c r="K396" s="620"/>
      <c r="L396" s="564"/>
      <c r="M396" s="251" t="s">
        <v>300</v>
      </c>
      <c r="N396" s="95">
        <f t="shared" si="19"/>
        <v>56006</v>
      </c>
      <c r="O396" s="96">
        <f t="shared" si="19"/>
        <v>0</v>
      </c>
      <c r="P396" s="96">
        <f t="shared" si="19"/>
        <v>0</v>
      </c>
      <c r="Q396" s="96">
        <f t="shared" si="19"/>
        <v>0</v>
      </c>
      <c r="R396" s="277">
        <f t="shared" si="19"/>
        <v>0</v>
      </c>
      <c r="S396" s="567"/>
    </row>
    <row r="397" spans="1:19" s="3" customFormat="1" ht="15" customHeight="1">
      <c r="A397" s="636"/>
      <c r="B397" s="271"/>
      <c r="C397" s="593"/>
      <c r="D397" s="596"/>
      <c r="E397" s="596"/>
      <c r="F397" s="596"/>
      <c r="G397" s="596"/>
      <c r="H397" s="596"/>
      <c r="I397" s="596"/>
      <c r="J397" s="597"/>
      <c r="K397" s="620"/>
      <c r="L397" s="565"/>
      <c r="M397" s="268" t="s">
        <v>301</v>
      </c>
      <c r="N397" s="95">
        <f>SUM(N394:N396)</f>
        <v>9959281</v>
      </c>
      <c r="O397" s="96">
        <f>SUM(O394:O396)</f>
        <v>0</v>
      </c>
      <c r="P397" s="96">
        <f>SUM(P394:P396)</f>
        <v>0</v>
      </c>
      <c r="Q397" s="96">
        <f>SUM(Q394:Q396)</f>
        <v>0</v>
      </c>
      <c r="R397" s="277">
        <f>SUM(R394:R396)</f>
        <v>0</v>
      </c>
      <c r="S397" s="567"/>
    </row>
    <row r="398" spans="1:19" s="272" customFormat="1" ht="27.75" customHeight="1">
      <c r="A398" s="636"/>
      <c r="B398" s="271"/>
      <c r="C398" s="593"/>
      <c r="D398" s="596"/>
      <c r="E398" s="596"/>
      <c r="F398" s="596"/>
      <c r="G398" s="596"/>
      <c r="H398" s="596"/>
      <c r="I398" s="596"/>
      <c r="J398" s="597"/>
      <c r="K398" s="620"/>
      <c r="L398" s="570" t="s">
        <v>301</v>
      </c>
      <c r="M398" s="258" t="s">
        <v>395</v>
      </c>
      <c r="N398" s="262">
        <f aca="true" t="shared" si="20" ref="N398:R400">N389+N394</f>
        <v>28523368</v>
      </c>
      <c r="O398" s="263">
        <f t="shared" si="20"/>
        <v>2434313</v>
      </c>
      <c r="P398" s="263">
        <f t="shared" si="20"/>
        <v>228548</v>
      </c>
      <c r="Q398" s="263">
        <f t="shared" si="20"/>
        <v>0</v>
      </c>
      <c r="R398" s="264">
        <f t="shared" si="20"/>
        <v>0</v>
      </c>
      <c r="S398" s="567"/>
    </row>
    <row r="399" spans="1:19" s="272" customFormat="1" ht="15" customHeight="1">
      <c r="A399" s="636"/>
      <c r="B399" s="271"/>
      <c r="C399" s="593"/>
      <c r="D399" s="596"/>
      <c r="E399" s="596"/>
      <c r="F399" s="596"/>
      <c r="G399" s="596"/>
      <c r="H399" s="596"/>
      <c r="I399" s="596"/>
      <c r="J399" s="597"/>
      <c r="K399" s="620"/>
      <c r="L399" s="627"/>
      <c r="M399" s="258" t="s">
        <v>299</v>
      </c>
      <c r="N399" s="265">
        <f t="shared" si="20"/>
        <v>2307592</v>
      </c>
      <c r="O399" s="88">
        <f t="shared" si="20"/>
        <v>362221</v>
      </c>
      <c r="P399" s="88">
        <f t="shared" si="20"/>
        <v>40332</v>
      </c>
      <c r="Q399" s="88">
        <f t="shared" si="20"/>
        <v>0</v>
      </c>
      <c r="R399" s="266">
        <f t="shared" si="20"/>
        <v>0</v>
      </c>
      <c r="S399" s="567"/>
    </row>
    <row r="400" spans="1:19" s="272" customFormat="1" ht="15" customHeight="1">
      <c r="A400" s="636"/>
      <c r="B400" s="271"/>
      <c r="C400" s="593"/>
      <c r="D400" s="596"/>
      <c r="E400" s="596"/>
      <c r="F400" s="596"/>
      <c r="G400" s="596"/>
      <c r="H400" s="596"/>
      <c r="I400" s="596"/>
      <c r="J400" s="597"/>
      <c r="K400" s="620"/>
      <c r="L400" s="627"/>
      <c r="M400" s="258" t="s">
        <v>300</v>
      </c>
      <c r="N400" s="91">
        <f t="shared" si="20"/>
        <v>3450635</v>
      </c>
      <c r="O400" s="88">
        <f t="shared" si="20"/>
        <v>645087</v>
      </c>
      <c r="P400" s="88">
        <f t="shared" si="20"/>
        <v>49682</v>
      </c>
      <c r="Q400" s="88">
        <f t="shared" si="20"/>
        <v>0</v>
      </c>
      <c r="R400" s="266">
        <f t="shared" si="20"/>
        <v>0</v>
      </c>
      <c r="S400" s="567"/>
    </row>
    <row r="401" spans="1:19" s="272" customFormat="1" ht="30">
      <c r="A401" s="636"/>
      <c r="B401" s="271"/>
      <c r="C401" s="593"/>
      <c r="D401" s="596"/>
      <c r="E401" s="596"/>
      <c r="F401" s="596"/>
      <c r="G401" s="596"/>
      <c r="H401" s="596"/>
      <c r="I401" s="596"/>
      <c r="J401" s="597"/>
      <c r="K401" s="620"/>
      <c r="L401" s="627"/>
      <c r="M401" s="278" t="s">
        <v>446</v>
      </c>
      <c r="N401" s="89">
        <f>N392</f>
        <v>322500</v>
      </c>
      <c r="O401" s="90">
        <f>O392</f>
        <v>0</v>
      </c>
      <c r="P401" s="90">
        <f>P392</f>
        <v>0</v>
      </c>
      <c r="Q401" s="90">
        <f>Q392</f>
        <v>0</v>
      </c>
      <c r="R401" s="275">
        <f>R392</f>
        <v>0</v>
      </c>
      <c r="S401" s="567"/>
    </row>
    <row r="402" spans="1:19" s="273" customFormat="1" ht="15" customHeight="1" thickBot="1">
      <c r="A402" s="637"/>
      <c r="B402" s="271"/>
      <c r="C402" s="598"/>
      <c r="D402" s="599"/>
      <c r="E402" s="599"/>
      <c r="F402" s="599"/>
      <c r="G402" s="599"/>
      <c r="H402" s="599"/>
      <c r="I402" s="599"/>
      <c r="J402" s="600"/>
      <c r="K402" s="621"/>
      <c r="L402" s="628"/>
      <c r="M402" s="253" t="s">
        <v>301</v>
      </c>
      <c r="N402" s="254">
        <f>SUM(N398:N401)</f>
        <v>34604095</v>
      </c>
      <c r="O402" s="92">
        <f>SUM(O398:O401)</f>
        <v>3441621</v>
      </c>
      <c r="P402" s="92">
        <f>SUM(P398:P401)</f>
        <v>318562</v>
      </c>
      <c r="Q402" s="92">
        <f>SUM(Q398:Q401)</f>
        <v>0</v>
      </c>
      <c r="R402" s="255">
        <f>SUM(R398:R401)</f>
        <v>0</v>
      </c>
      <c r="S402" s="568"/>
    </row>
    <row r="403" spans="1:19" s="195" customFormat="1" ht="20.25" customHeight="1" thickBot="1">
      <c r="A403" s="189"/>
      <c r="B403" s="190"/>
      <c r="C403" s="459" t="s">
        <v>419</v>
      </c>
      <c r="D403" s="455"/>
      <c r="E403" s="455"/>
      <c r="F403" s="455"/>
      <c r="G403" s="455"/>
      <c r="H403" s="455"/>
      <c r="I403" s="455"/>
      <c r="J403" s="455"/>
      <c r="K403" s="455"/>
      <c r="L403" s="455"/>
      <c r="M403" s="455"/>
      <c r="N403" s="193"/>
      <c r="O403" s="193"/>
      <c r="P403" s="193"/>
      <c r="Q403" s="193"/>
      <c r="R403" s="193"/>
      <c r="S403" s="194"/>
    </row>
    <row r="404" spans="1:19" s="37" customFormat="1" ht="20.25" customHeight="1" thickBot="1">
      <c r="A404" s="196"/>
      <c r="B404" s="105"/>
      <c r="C404" s="197" t="s">
        <v>530</v>
      </c>
      <c r="D404" s="196"/>
      <c r="E404" s="196"/>
      <c r="F404" s="196"/>
      <c r="G404" s="196"/>
      <c r="H404" s="196"/>
      <c r="I404" s="196"/>
      <c r="J404" s="196"/>
      <c r="K404" s="207"/>
      <c r="L404" s="196"/>
      <c r="M404" s="196"/>
      <c r="N404" s="196"/>
      <c r="O404" s="196"/>
      <c r="P404" s="196"/>
      <c r="Q404" s="196"/>
      <c r="R404" s="196"/>
      <c r="S404" s="198"/>
    </row>
    <row r="405" spans="1:19" s="143" customFormat="1" ht="15" customHeight="1">
      <c r="A405" s="514"/>
      <c r="B405" s="284"/>
      <c r="C405" s="517"/>
      <c r="D405" s="520" t="s">
        <v>534</v>
      </c>
      <c r="E405" s="520"/>
      <c r="F405" s="520"/>
      <c r="G405" s="521"/>
      <c r="H405" s="508" t="s">
        <v>535</v>
      </c>
      <c r="I405" s="508" t="s">
        <v>537</v>
      </c>
      <c r="J405" s="508" t="s">
        <v>30</v>
      </c>
      <c r="K405" s="511">
        <v>415158000</v>
      </c>
      <c r="L405" s="508" t="s">
        <v>302</v>
      </c>
      <c r="M405" s="248" t="s">
        <v>298</v>
      </c>
      <c r="N405" s="8"/>
      <c r="O405" s="9">
        <v>23000000</v>
      </c>
      <c r="P405" s="9">
        <v>84000000</v>
      </c>
      <c r="Q405" s="9">
        <v>144000000</v>
      </c>
      <c r="R405" s="30">
        <v>101000000</v>
      </c>
      <c r="S405" s="505">
        <f>N408</f>
        <v>15180000</v>
      </c>
    </row>
    <row r="406" spans="1:19" s="143" customFormat="1" ht="12.75" customHeight="1">
      <c r="A406" s="515"/>
      <c r="B406" s="284"/>
      <c r="C406" s="518"/>
      <c r="D406" s="522"/>
      <c r="E406" s="522"/>
      <c r="F406" s="522"/>
      <c r="G406" s="523"/>
      <c r="H406" s="509"/>
      <c r="I406" s="509"/>
      <c r="J406" s="509"/>
      <c r="K406" s="512"/>
      <c r="L406" s="509"/>
      <c r="M406" s="41" t="s">
        <v>299</v>
      </c>
      <c r="N406" s="10"/>
      <c r="O406" s="10"/>
      <c r="P406" s="10"/>
      <c r="Q406" s="10"/>
      <c r="R406" s="31"/>
      <c r="S406" s="506"/>
    </row>
    <row r="407" spans="1:19" s="143" customFormat="1" ht="15" customHeight="1">
      <c r="A407" s="515"/>
      <c r="B407" s="284"/>
      <c r="C407" s="518"/>
      <c r="D407" s="522"/>
      <c r="E407" s="522"/>
      <c r="F407" s="522"/>
      <c r="G407" s="523"/>
      <c r="H407" s="509"/>
      <c r="I407" s="509"/>
      <c r="J407" s="509"/>
      <c r="K407" s="512"/>
      <c r="L407" s="509"/>
      <c r="M407" s="41" t="s">
        <v>300</v>
      </c>
      <c r="N407" s="11">
        <v>15180000</v>
      </c>
      <c r="O407" s="10">
        <v>8400000</v>
      </c>
      <c r="P407" s="10">
        <v>20700000</v>
      </c>
      <c r="Q407" s="10">
        <v>14300000</v>
      </c>
      <c r="R407" s="31">
        <v>2348500</v>
      </c>
      <c r="S407" s="506"/>
    </row>
    <row r="408" spans="1:19" s="143" customFormat="1" ht="15" customHeight="1" thickBot="1">
      <c r="A408" s="516"/>
      <c r="B408" s="284"/>
      <c r="C408" s="519"/>
      <c r="D408" s="524"/>
      <c r="E408" s="524"/>
      <c r="F408" s="524"/>
      <c r="G408" s="525"/>
      <c r="H408" s="510"/>
      <c r="I408" s="510"/>
      <c r="J408" s="510"/>
      <c r="K408" s="513"/>
      <c r="L408" s="510"/>
      <c r="M408" s="282" t="s">
        <v>301</v>
      </c>
      <c r="N408" s="280">
        <f>SUM(N405:N407)</f>
        <v>15180000</v>
      </c>
      <c r="O408" s="283">
        <f>SUM(O405:O407)</f>
        <v>31400000</v>
      </c>
      <c r="P408" s="283">
        <f>SUM(P405:P407)</f>
        <v>104700000</v>
      </c>
      <c r="Q408" s="283">
        <f>SUM(Q405:Q407)</f>
        <v>158300000</v>
      </c>
      <c r="R408" s="292">
        <f>SUM(R405:R407)</f>
        <v>103348500</v>
      </c>
      <c r="S408" s="507"/>
    </row>
    <row r="409" spans="1:19" s="37" customFormat="1" ht="20.25" customHeight="1" thickBot="1">
      <c r="A409" s="196"/>
      <c r="B409" s="105"/>
      <c r="C409" s="197" t="s">
        <v>290</v>
      </c>
      <c r="D409" s="196"/>
      <c r="E409" s="196"/>
      <c r="F409" s="196"/>
      <c r="G409" s="196"/>
      <c r="H409" s="196"/>
      <c r="I409" s="196"/>
      <c r="J409" s="196"/>
      <c r="K409" s="207"/>
      <c r="L409" s="196"/>
      <c r="M409" s="196"/>
      <c r="N409" s="196"/>
      <c r="O409" s="196"/>
      <c r="P409" s="196"/>
      <c r="Q409" s="196"/>
      <c r="R409" s="196"/>
      <c r="S409" s="198"/>
    </row>
    <row r="410" spans="1:19" s="143" customFormat="1" ht="15" customHeight="1">
      <c r="A410" s="514"/>
      <c r="B410" s="284"/>
      <c r="C410" s="517"/>
      <c r="D410" s="520" t="s">
        <v>293</v>
      </c>
      <c r="E410" s="520"/>
      <c r="F410" s="520"/>
      <c r="G410" s="521"/>
      <c r="H410" s="508" t="s">
        <v>291</v>
      </c>
      <c r="I410" s="508" t="s">
        <v>292</v>
      </c>
      <c r="J410" s="508" t="s">
        <v>562</v>
      </c>
      <c r="K410" s="511">
        <f>644177071+1142554</f>
        <v>645319625</v>
      </c>
      <c r="L410" s="508" t="s">
        <v>302</v>
      </c>
      <c r="M410" s="248" t="s">
        <v>298</v>
      </c>
      <c r="N410" s="8"/>
      <c r="O410" s="9"/>
      <c r="P410" s="9"/>
      <c r="Q410" s="9"/>
      <c r="R410" s="30"/>
      <c r="S410" s="505">
        <f>N413</f>
        <v>1142554</v>
      </c>
    </row>
    <row r="411" spans="1:19" s="143" customFormat="1" ht="12.75" customHeight="1">
      <c r="A411" s="515"/>
      <c r="B411" s="284"/>
      <c r="C411" s="518"/>
      <c r="D411" s="522"/>
      <c r="E411" s="522"/>
      <c r="F411" s="522"/>
      <c r="G411" s="523"/>
      <c r="H411" s="509"/>
      <c r="I411" s="509"/>
      <c r="J411" s="509"/>
      <c r="K411" s="512"/>
      <c r="L411" s="509"/>
      <c r="M411" s="41" t="s">
        <v>299</v>
      </c>
      <c r="N411" s="10"/>
      <c r="O411" s="10"/>
      <c r="P411" s="10"/>
      <c r="Q411" s="10"/>
      <c r="R411" s="31"/>
      <c r="S411" s="506"/>
    </row>
    <row r="412" spans="1:19" s="143" customFormat="1" ht="28.5">
      <c r="A412" s="515"/>
      <c r="B412" s="284"/>
      <c r="C412" s="518"/>
      <c r="D412" s="522"/>
      <c r="E412" s="522"/>
      <c r="F412" s="522"/>
      <c r="G412" s="523"/>
      <c r="H412" s="509"/>
      <c r="I412" s="509"/>
      <c r="J412" s="509"/>
      <c r="K412" s="512"/>
      <c r="L412" s="509"/>
      <c r="M412" s="504" t="s">
        <v>446</v>
      </c>
      <c r="N412" s="11">
        <v>1142554</v>
      </c>
      <c r="O412" s="10"/>
      <c r="P412" s="10"/>
      <c r="Q412" s="10"/>
      <c r="R412" s="31"/>
      <c r="S412" s="506"/>
    </row>
    <row r="413" spans="1:19" s="143" customFormat="1" ht="15" customHeight="1" thickBot="1">
      <c r="A413" s="516"/>
      <c r="B413" s="284"/>
      <c r="C413" s="519"/>
      <c r="D413" s="524"/>
      <c r="E413" s="524"/>
      <c r="F413" s="524"/>
      <c r="G413" s="525"/>
      <c r="H413" s="510"/>
      <c r="I413" s="510"/>
      <c r="J413" s="510"/>
      <c r="K413" s="513"/>
      <c r="L413" s="510"/>
      <c r="M413" s="282" t="s">
        <v>301</v>
      </c>
      <c r="N413" s="280">
        <f>SUM(N410:N412)</f>
        <v>1142554</v>
      </c>
      <c r="O413" s="283">
        <f>SUM(O410:O412)</f>
        <v>0</v>
      </c>
      <c r="P413" s="283">
        <f>SUM(P410:P412)</f>
        <v>0</v>
      </c>
      <c r="Q413" s="283">
        <f>SUM(Q410:Q412)</f>
        <v>0</v>
      </c>
      <c r="R413" s="292">
        <f>SUM(R410:R412)</f>
        <v>0</v>
      </c>
      <c r="S413" s="507"/>
    </row>
    <row r="414" spans="1:19" s="37" customFormat="1" ht="20.25" customHeight="1" thickBot="1">
      <c r="A414" s="196"/>
      <c r="B414" s="105"/>
      <c r="C414" s="380" t="s">
        <v>420</v>
      </c>
      <c r="D414" s="381"/>
      <c r="E414" s="381"/>
      <c r="F414" s="381"/>
      <c r="G414" s="381"/>
      <c r="H414" s="381"/>
      <c r="I414" s="381"/>
      <c r="J414" s="381"/>
      <c r="K414" s="382"/>
      <c r="L414" s="381"/>
      <c r="M414" s="381"/>
      <c r="N414" s="381"/>
      <c r="O414" s="381"/>
      <c r="P414" s="381"/>
      <c r="Q414" s="381"/>
      <c r="R414" s="381"/>
      <c r="S414" s="383"/>
    </row>
    <row r="415" spans="1:19" s="143" customFormat="1" ht="15" customHeight="1">
      <c r="A415" s="528">
        <v>90095</v>
      </c>
      <c r="B415" s="284"/>
      <c r="C415" s="518"/>
      <c r="D415" s="522" t="s">
        <v>421</v>
      </c>
      <c r="E415" s="522"/>
      <c r="F415" s="522"/>
      <c r="G415" s="523"/>
      <c r="H415" s="467" t="s">
        <v>422</v>
      </c>
      <c r="I415" s="467" t="s">
        <v>295</v>
      </c>
      <c r="J415" s="467" t="s">
        <v>327</v>
      </c>
      <c r="K415" s="468">
        <v>461610</v>
      </c>
      <c r="L415" s="467" t="s">
        <v>297</v>
      </c>
      <c r="M415" s="248" t="s">
        <v>298</v>
      </c>
      <c r="N415" s="8">
        <v>181946</v>
      </c>
      <c r="O415" s="9">
        <v>164261</v>
      </c>
      <c r="P415" s="9"/>
      <c r="Q415" s="9"/>
      <c r="R415" s="30"/>
      <c r="S415" s="505">
        <v>461610</v>
      </c>
    </row>
    <row r="416" spans="1:19" s="143" customFormat="1" ht="15" customHeight="1">
      <c r="A416" s="509"/>
      <c r="B416" s="284"/>
      <c r="C416" s="518"/>
      <c r="D416" s="522"/>
      <c r="E416" s="522"/>
      <c r="F416" s="522"/>
      <c r="G416" s="523"/>
      <c r="H416" s="509"/>
      <c r="I416" s="509"/>
      <c r="J416" s="509"/>
      <c r="K416" s="512"/>
      <c r="L416" s="467"/>
      <c r="M416" s="41" t="s">
        <v>299</v>
      </c>
      <c r="N416" s="10"/>
      <c r="O416" s="10"/>
      <c r="P416" s="10"/>
      <c r="Q416" s="10"/>
      <c r="R416" s="31"/>
      <c r="S416" s="506"/>
    </row>
    <row r="417" spans="1:19" s="143" customFormat="1" ht="15" customHeight="1">
      <c r="A417" s="509"/>
      <c r="B417" s="284"/>
      <c r="C417" s="518"/>
      <c r="D417" s="522"/>
      <c r="E417" s="522"/>
      <c r="F417" s="522"/>
      <c r="G417" s="523"/>
      <c r="H417" s="509"/>
      <c r="I417" s="509"/>
      <c r="J417" s="509"/>
      <c r="K417" s="512"/>
      <c r="L417" s="467"/>
      <c r="M417" s="41" t="s">
        <v>300</v>
      </c>
      <c r="N417" s="11">
        <v>60649</v>
      </c>
      <c r="O417" s="10">
        <v>54754</v>
      </c>
      <c r="P417" s="10"/>
      <c r="Q417" s="10"/>
      <c r="R417" s="31"/>
      <c r="S417" s="506"/>
    </row>
    <row r="418" spans="1:19" s="143" customFormat="1" ht="15" customHeight="1" thickBot="1">
      <c r="A418" s="510"/>
      <c r="B418" s="284"/>
      <c r="C418" s="519"/>
      <c r="D418" s="524"/>
      <c r="E418" s="524"/>
      <c r="F418" s="524"/>
      <c r="G418" s="525"/>
      <c r="H418" s="510"/>
      <c r="I418" s="510"/>
      <c r="J418" s="510"/>
      <c r="K418" s="513"/>
      <c r="L418" s="469"/>
      <c r="M418" s="282" t="s">
        <v>301</v>
      </c>
      <c r="N418" s="280">
        <f>SUM(N415:N417)</f>
        <v>242595</v>
      </c>
      <c r="O418" s="283">
        <f>SUM(O415:O417)</f>
        <v>219015</v>
      </c>
      <c r="P418" s="283">
        <f>SUM(P415:P417)</f>
        <v>0</v>
      </c>
      <c r="Q418" s="283">
        <f>SUM(Q415:Q417)</f>
        <v>0</v>
      </c>
      <c r="R418" s="292">
        <f>SUM(R415:R417)</f>
        <v>0</v>
      </c>
      <c r="S418" s="507"/>
    </row>
    <row r="419" spans="1:19" s="202" customFormat="1" ht="15" customHeight="1">
      <c r="A419" s="548"/>
      <c r="B419" s="105"/>
      <c r="C419" s="551" t="s">
        <v>123</v>
      </c>
      <c r="D419" s="552"/>
      <c r="E419" s="552"/>
      <c r="F419" s="552"/>
      <c r="G419" s="552"/>
      <c r="H419" s="552"/>
      <c r="I419" s="552"/>
      <c r="J419" s="553"/>
      <c r="K419" s="560">
        <f>K415+K410+K405</f>
        <v>1060939235</v>
      </c>
      <c r="L419" s="563" t="s">
        <v>297</v>
      </c>
      <c r="M419" s="111" t="s">
        <v>298</v>
      </c>
      <c r="N419" s="256">
        <f aca="true" t="shared" si="21" ref="N419:R421">N415</f>
        <v>181946</v>
      </c>
      <c r="O419" s="94">
        <f t="shared" si="21"/>
        <v>164261</v>
      </c>
      <c r="P419" s="94">
        <f t="shared" si="21"/>
        <v>0</v>
      </c>
      <c r="Q419" s="94">
        <f t="shared" si="21"/>
        <v>0</v>
      </c>
      <c r="R419" s="257">
        <f t="shared" si="21"/>
        <v>0</v>
      </c>
      <c r="S419" s="566">
        <f>S415+S410+S405</f>
        <v>16784164</v>
      </c>
    </row>
    <row r="420" spans="1:19" s="202" customFormat="1" ht="15" customHeight="1">
      <c r="A420" s="549"/>
      <c r="B420" s="105"/>
      <c r="C420" s="554"/>
      <c r="D420" s="555"/>
      <c r="E420" s="555"/>
      <c r="F420" s="555"/>
      <c r="G420" s="555"/>
      <c r="H420" s="555"/>
      <c r="I420" s="555"/>
      <c r="J420" s="556"/>
      <c r="K420" s="561"/>
      <c r="L420" s="564"/>
      <c r="M420" s="251" t="s">
        <v>299</v>
      </c>
      <c r="N420" s="99">
        <f t="shared" si="21"/>
        <v>0</v>
      </c>
      <c r="O420" s="96">
        <f t="shared" si="21"/>
        <v>0</v>
      </c>
      <c r="P420" s="96">
        <f t="shared" si="21"/>
        <v>0</v>
      </c>
      <c r="Q420" s="96">
        <f t="shared" si="21"/>
        <v>0</v>
      </c>
      <c r="R420" s="259">
        <f t="shared" si="21"/>
        <v>0</v>
      </c>
      <c r="S420" s="567"/>
    </row>
    <row r="421" spans="1:19" s="202" customFormat="1" ht="15" customHeight="1">
      <c r="A421" s="549"/>
      <c r="B421" s="105"/>
      <c r="C421" s="554"/>
      <c r="D421" s="555"/>
      <c r="E421" s="555"/>
      <c r="F421" s="555"/>
      <c r="G421" s="555"/>
      <c r="H421" s="555"/>
      <c r="I421" s="555"/>
      <c r="J421" s="556"/>
      <c r="K421" s="561"/>
      <c r="L421" s="564"/>
      <c r="M421" s="251" t="s">
        <v>300</v>
      </c>
      <c r="N421" s="99">
        <f t="shared" si="21"/>
        <v>60649</v>
      </c>
      <c r="O421" s="96">
        <f t="shared" si="21"/>
        <v>54754</v>
      </c>
      <c r="P421" s="96">
        <f t="shared" si="21"/>
        <v>0</v>
      </c>
      <c r="Q421" s="96">
        <f t="shared" si="21"/>
        <v>0</v>
      </c>
      <c r="R421" s="259">
        <f t="shared" si="21"/>
        <v>0</v>
      </c>
      <c r="S421" s="567"/>
    </row>
    <row r="422" spans="1:19" s="202" customFormat="1" ht="15" customHeight="1">
      <c r="A422" s="549"/>
      <c r="B422" s="105"/>
      <c r="C422" s="554"/>
      <c r="D422" s="555"/>
      <c r="E422" s="555"/>
      <c r="F422" s="555"/>
      <c r="G422" s="555"/>
      <c r="H422" s="555"/>
      <c r="I422" s="555"/>
      <c r="J422" s="556"/>
      <c r="K422" s="561"/>
      <c r="L422" s="565"/>
      <c r="M422" s="267" t="s">
        <v>301</v>
      </c>
      <c r="N422" s="97">
        <f>SUM(N419:N421)</f>
        <v>242595</v>
      </c>
      <c r="O422" s="98">
        <f>SUM(O419:O421)</f>
        <v>219015</v>
      </c>
      <c r="P422" s="98">
        <f>SUM(P419:P421)</f>
        <v>0</v>
      </c>
      <c r="Q422" s="98">
        <f>SUM(Q419:Q421)</f>
        <v>0</v>
      </c>
      <c r="R422" s="260">
        <f>SUM(R419:R421)</f>
        <v>0</v>
      </c>
      <c r="S422" s="567"/>
    </row>
    <row r="423" spans="1:19" s="202" customFormat="1" ht="15" customHeight="1">
      <c r="A423" s="549"/>
      <c r="B423" s="105"/>
      <c r="C423" s="554"/>
      <c r="D423" s="555"/>
      <c r="E423" s="555"/>
      <c r="F423" s="555"/>
      <c r="G423" s="555"/>
      <c r="H423" s="555"/>
      <c r="I423" s="555"/>
      <c r="J423" s="556"/>
      <c r="K423" s="561"/>
      <c r="L423" s="569" t="s">
        <v>302</v>
      </c>
      <c r="M423" s="250" t="s">
        <v>298</v>
      </c>
      <c r="N423" s="99">
        <f aca="true" t="shared" si="22" ref="N423:R425">N405</f>
        <v>0</v>
      </c>
      <c r="O423" s="96">
        <f t="shared" si="22"/>
        <v>23000000</v>
      </c>
      <c r="P423" s="96">
        <f t="shared" si="22"/>
        <v>84000000</v>
      </c>
      <c r="Q423" s="96">
        <f t="shared" si="22"/>
        <v>144000000</v>
      </c>
      <c r="R423" s="259">
        <f t="shared" si="22"/>
        <v>101000000</v>
      </c>
      <c r="S423" s="567"/>
    </row>
    <row r="424" spans="1:19" s="202" customFormat="1" ht="15" customHeight="1">
      <c r="A424" s="549"/>
      <c r="B424" s="105"/>
      <c r="C424" s="554"/>
      <c r="D424" s="555"/>
      <c r="E424" s="555"/>
      <c r="F424" s="555"/>
      <c r="G424" s="555"/>
      <c r="H424" s="555"/>
      <c r="I424" s="555"/>
      <c r="J424" s="556"/>
      <c r="K424" s="561"/>
      <c r="L424" s="564"/>
      <c r="M424" s="251" t="s">
        <v>299</v>
      </c>
      <c r="N424" s="99">
        <f t="shared" si="22"/>
        <v>0</v>
      </c>
      <c r="O424" s="96">
        <f t="shared" si="22"/>
        <v>0</v>
      </c>
      <c r="P424" s="96">
        <f t="shared" si="22"/>
        <v>0</v>
      </c>
      <c r="Q424" s="96">
        <f t="shared" si="22"/>
        <v>0</v>
      </c>
      <c r="R424" s="259">
        <f t="shared" si="22"/>
        <v>0</v>
      </c>
      <c r="S424" s="567"/>
    </row>
    <row r="425" spans="1:19" s="202" customFormat="1" ht="15" customHeight="1">
      <c r="A425" s="549"/>
      <c r="B425" s="105"/>
      <c r="C425" s="554"/>
      <c r="D425" s="555"/>
      <c r="E425" s="555"/>
      <c r="F425" s="555"/>
      <c r="G425" s="555"/>
      <c r="H425" s="555"/>
      <c r="I425" s="555"/>
      <c r="J425" s="556"/>
      <c r="K425" s="561"/>
      <c r="L425" s="564"/>
      <c r="M425" s="251" t="s">
        <v>300</v>
      </c>
      <c r="N425" s="99">
        <f t="shared" si="22"/>
        <v>15180000</v>
      </c>
      <c r="O425" s="96">
        <f t="shared" si="22"/>
        <v>8400000</v>
      </c>
      <c r="P425" s="96">
        <f t="shared" si="22"/>
        <v>20700000</v>
      </c>
      <c r="Q425" s="96">
        <f t="shared" si="22"/>
        <v>14300000</v>
      </c>
      <c r="R425" s="259">
        <f t="shared" si="22"/>
        <v>2348500</v>
      </c>
      <c r="S425" s="567"/>
    </row>
    <row r="426" spans="1:19" s="202" customFormat="1" ht="28.5">
      <c r="A426" s="549"/>
      <c r="B426" s="105"/>
      <c r="C426" s="554"/>
      <c r="D426" s="555"/>
      <c r="E426" s="555"/>
      <c r="F426" s="555"/>
      <c r="G426" s="555"/>
      <c r="H426" s="555"/>
      <c r="I426" s="555"/>
      <c r="J426" s="556"/>
      <c r="K426" s="561"/>
      <c r="L426" s="564"/>
      <c r="M426" s="274" t="s">
        <v>446</v>
      </c>
      <c r="N426" s="99">
        <f>N412</f>
        <v>1142554</v>
      </c>
      <c r="O426" s="96">
        <f>O412</f>
        <v>0</v>
      </c>
      <c r="P426" s="96">
        <f>P412</f>
        <v>0</v>
      </c>
      <c r="Q426" s="96">
        <f>Q412</f>
        <v>0</v>
      </c>
      <c r="R426" s="252">
        <f>R412</f>
        <v>0</v>
      </c>
      <c r="S426" s="567"/>
    </row>
    <row r="427" spans="1:19" s="202" customFormat="1" ht="15" customHeight="1">
      <c r="A427" s="549"/>
      <c r="B427" s="105"/>
      <c r="C427" s="554"/>
      <c r="D427" s="555"/>
      <c r="E427" s="555"/>
      <c r="F427" s="555"/>
      <c r="G427" s="555"/>
      <c r="H427" s="555"/>
      <c r="I427" s="555"/>
      <c r="J427" s="556"/>
      <c r="K427" s="561"/>
      <c r="L427" s="565"/>
      <c r="M427" s="268" t="s">
        <v>301</v>
      </c>
      <c r="N427" s="99">
        <f>SUM(N423:N426)</f>
        <v>16322554</v>
      </c>
      <c r="O427" s="96">
        <f>SUM(O423:O426)</f>
        <v>31400000</v>
      </c>
      <c r="P427" s="96">
        <f>SUM(P423:P426)</f>
        <v>104700000</v>
      </c>
      <c r="Q427" s="96">
        <f>SUM(Q423:Q426)</f>
        <v>158300000</v>
      </c>
      <c r="R427" s="252">
        <f>SUM(R423:R426)</f>
        <v>103348500</v>
      </c>
      <c r="S427" s="567"/>
    </row>
    <row r="428" spans="1:19" s="247" customFormat="1" ht="15" customHeight="1">
      <c r="A428" s="549"/>
      <c r="B428" s="105"/>
      <c r="C428" s="554"/>
      <c r="D428" s="555"/>
      <c r="E428" s="555"/>
      <c r="F428" s="555"/>
      <c r="G428" s="555"/>
      <c r="H428" s="555"/>
      <c r="I428" s="555"/>
      <c r="J428" s="556"/>
      <c r="K428" s="561"/>
      <c r="L428" s="570" t="s">
        <v>301</v>
      </c>
      <c r="M428" s="261" t="s">
        <v>298</v>
      </c>
      <c r="N428" s="262">
        <f aca="true" t="shared" si="23" ref="N428:R430">N419+N423</f>
        <v>181946</v>
      </c>
      <c r="O428" s="263">
        <f t="shared" si="23"/>
        <v>23164261</v>
      </c>
      <c r="P428" s="263">
        <f t="shared" si="23"/>
        <v>84000000</v>
      </c>
      <c r="Q428" s="263">
        <f t="shared" si="23"/>
        <v>144000000</v>
      </c>
      <c r="R428" s="264">
        <f t="shared" si="23"/>
        <v>101000000</v>
      </c>
      <c r="S428" s="567"/>
    </row>
    <row r="429" spans="1:19" s="247" customFormat="1" ht="15" customHeight="1">
      <c r="A429" s="549"/>
      <c r="B429" s="105"/>
      <c r="C429" s="554"/>
      <c r="D429" s="555"/>
      <c r="E429" s="555"/>
      <c r="F429" s="555"/>
      <c r="G429" s="555"/>
      <c r="H429" s="555"/>
      <c r="I429" s="555"/>
      <c r="J429" s="556"/>
      <c r="K429" s="561"/>
      <c r="L429" s="571"/>
      <c r="M429" s="258" t="s">
        <v>299</v>
      </c>
      <c r="N429" s="265">
        <f t="shared" si="23"/>
        <v>0</v>
      </c>
      <c r="O429" s="88">
        <f t="shared" si="23"/>
        <v>0</v>
      </c>
      <c r="P429" s="88">
        <f t="shared" si="23"/>
        <v>0</v>
      </c>
      <c r="Q429" s="88">
        <f t="shared" si="23"/>
        <v>0</v>
      </c>
      <c r="R429" s="266">
        <f t="shared" si="23"/>
        <v>0</v>
      </c>
      <c r="S429" s="567"/>
    </row>
    <row r="430" spans="1:19" s="247" customFormat="1" ht="15" customHeight="1">
      <c r="A430" s="549"/>
      <c r="B430" s="105"/>
      <c r="C430" s="554"/>
      <c r="D430" s="555"/>
      <c r="E430" s="555"/>
      <c r="F430" s="555"/>
      <c r="G430" s="555"/>
      <c r="H430" s="555"/>
      <c r="I430" s="555"/>
      <c r="J430" s="556"/>
      <c r="K430" s="561"/>
      <c r="L430" s="571"/>
      <c r="M430" s="258" t="s">
        <v>300</v>
      </c>
      <c r="N430" s="91">
        <f t="shared" si="23"/>
        <v>15240649</v>
      </c>
      <c r="O430" s="88">
        <f t="shared" si="23"/>
        <v>8454754</v>
      </c>
      <c r="P430" s="88">
        <f t="shared" si="23"/>
        <v>20700000</v>
      </c>
      <c r="Q430" s="88">
        <f t="shared" si="23"/>
        <v>14300000</v>
      </c>
      <c r="R430" s="266">
        <f t="shared" si="23"/>
        <v>2348500</v>
      </c>
      <c r="S430" s="567"/>
    </row>
    <row r="431" spans="1:19" s="247" customFormat="1" ht="28.5">
      <c r="A431" s="549"/>
      <c r="B431" s="105"/>
      <c r="C431" s="554"/>
      <c r="D431" s="555"/>
      <c r="E431" s="555"/>
      <c r="F431" s="555"/>
      <c r="G431" s="555"/>
      <c r="H431" s="555"/>
      <c r="I431" s="555"/>
      <c r="J431" s="556"/>
      <c r="K431" s="561"/>
      <c r="L431" s="571"/>
      <c r="M431" s="504" t="s">
        <v>446</v>
      </c>
      <c r="N431" s="89">
        <f>N426</f>
        <v>1142554</v>
      </c>
      <c r="O431" s="90">
        <f>O426</f>
        <v>0</v>
      </c>
      <c r="P431" s="90">
        <f>P426</f>
        <v>0</v>
      </c>
      <c r="Q431" s="90">
        <f>Q426</f>
        <v>0</v>
      </c>
      <c r="R431" s="275">
        <f>R426</f>
        <v>0</v>
      </c>
      <c r="S431" s="567"/>
    </row>
    <row r="432" spans="1:19" s="249" customFormat="1" ht="15" customHeight="1" thickBot="1">
      <c r="A432" s="550"/>
      <c r="B432" s="105"/>
      <c r="C432" s="557"/>
      <c r="D432" s="558"/>
      <c r="E432" s="558"/>
      <c r="F432" s="558"/>
      <c r="G432" s="558"/>
      <c r="H432" s="558"/>
      <c r="I432" s="558"/>
      <c r="J432" s="559"/>
      <c r="K432" s="562"/>
      <c r="L432" s="572"/>
      <c r="M432" s="253" t="s">
        <v>301</v>
      </c>
      <c r="N432" s="254">
        <f>SUM(N428:N431)</f>
        <v>16565149</v>
      </c>
      <c r="O432" s="92">
        <f>SUM(O428:O431)</f>
        <v>31619015</v>
      </c>
      <c r="P432" s="92">
        <f>SUM(P428:P431)</f>
        <v>104700000</v>
      </c>
      <c r="Q432" s="92">
        <f>SUM(Q428:Q431)</f>
        <v>158300000</v>
      </c>
      <c r="R432" s="255">
        <f>SUM(R428:R431)</f>
        <v>103348500</v>
      </c>
      <c r="S432" s="568"/>
    </row>
    <row r="433" spans="1:19" s="195" customFormat="1" ht="20.25" customHeight="1" thickBot="1">
      <c r="A433" s="189"/>
      <c r="B433" s="190"/>
      <c r="C433" s="459" t="s">
        <v>423</v>
      </c>
      <c r="D433" s="455"/>
      <c r="E433" s="455"/>
      <c r="F433" s="455"/>
      <c r="G433" s="455"/>
      <c r="H433" s="455"/>
      <c r="I433" s="455"/>
      <c r="J433" s="455"/>
      <c r="K433" s="455"/>
      <c r="L433" s="189"/>
      <c r="M433" s="192"/>
      <c r="N433" s="193"/>
      <c r="O433" s="193"/>
      <c r="P433" s="193"/>
      <c r="Q433" s="193"/>
      <c r="R433" s="193"/>
      <c r="S433" s="194"/>
    </row>
    <row r="434" spans="1:19" s="37" customFormat="1" ht="20.25" customHeight="1" thickBot="1">
      <c r="A434" s="196"/>
      <c r="B434" s="105"/>
      <c r="C434" s="197" t="s">
        <v>261</v>
      </c>
      <c r="D434" s="196"/>
      <c r="E434" s="196"/>
      <c r="F434" s="196"/>
      <c r="G434" s="196"/>
      <c r="H434" s="196"/>
      <c r="I434" s="196"/>
      <c r="J434" s="196"/>
      <c r="K434" s="207"/>
      <c r="L434" s="196"/>
      <c r="M434" s="196"/>
      <c r="N434" s="196"/>
      <c r="O434" s="196"/>
      <c r="P434" s="196"/>
      <c r="Q434" s="196"/>
      <c r="R434" s="196"/>
      <c r="S434" s="198"/>
    </row>
    <row r="435" spans="1:19" s="143" customFormat="1" ht="15" customHeight="1">
      <c r="A435" s="544">
        <v>92195</v>
      </c>
      <c r="B435" s="284"/>
      <c r="C435" s="545"/>
      <c r="D435" s="578" t="s">
        <v>441</v>
      </c>
      <c r="E435" s="578"/>
      <c r="F435" s="578"/>
      <c r="G435" s="579"/>
      <c r="H435" s="534" t="s">
        <v>442</v>
      </c>
      <c r="I435" s="536" t="s">
        <v>295</v>
      </c>
      <c r="J435" s="536" t="s">
        <v>296</v>
      </c>
      <c r="K435" s="539">
        <v>98900000</v>
      </c>
      <c r="L435" s="508" t="s">
        <v>297</v>
      </c>
      <c r="M435" s="248" t="s">
        <v>298</v>
      </c>
      <c r="N435" s="8">
        <v>51000</v>
      </c>
      <c r="O435" s="9">
        <v>51000</v>
      </c>
      <c r="P435" s="9"/>
      <c r="Q435" s="9"/>
      <c r="R435" s="9"/>
      <c r="S435" s="505">
        <v>90761583</v>
      </c>
    </row>
    <row r="436" spans="1:19" s="143" customFormat="1" ht="15" customHeight="1">
      <c r="A436" s="537"/>
      <c r="B436" s="284"/>
      <c r="C436" s="546"/>
      <c r="D436" s="580"/>
      <c r="E436" s="580"/>
      <c r="F436" s="580"/>
      <c r="G436" s="581"/>
      <c r="H436" s="456"/>
      <c r="I436" s="537"/>
      <c r="J436" s="537"/>
      <c r="K436" s="540"/>
      <c r="L436" s="467"/>
      <c r="M436" s="41" t="s">
        <v>299</v>
      </c>
      <c r="N436" s="10">
        <v>9000</v>
      </c>
      <c r="O436" s="10">
        <v>9000</v>
      </c>
      <c r="P436" s="10"/>
      <c r="Q436" s="10"/>
      <c r="R436" s="10"/>
      <c r="S436" s="506"/>
    </row>
    <row r="437" spans="1:19" s="143" customFormat="1" ht="15" customHeight="1">
      <c r="A437" s="537"/>
      <c r="B437" s="284"/>
      <c r="C437" s="546"/>
      <c r="D437" s="580"/>
      <c r="E437" s="580"/>
      <c r="F437" s="580"/>
      <c r="G437" s="581"/>
      <c r="H437" s="456"/>
      <c r="I437" s="537"/>
      <c r="J437" s="537"/>
      <c r="K437" s="540"/>
      <c r="L437" s="467"/>
      <c r="M437" s="41" t="s">
        <v>300</v>
      </c>
      <c r="N437" s="11">
        <v>40000</v>
      </c>
      <c r="O437" s="10">
        <v>40000</v>
      </c>
      <c r="P437" s="10"/>
      <c r="Q437" s="10"/>
      <c r="R437" s="10"/>
      <c r="S437" s="506"/>
    </row>
    <row r="438" spans="1:19" s="143" customFormat="1" ht="15" customHeight="1">
      <c r="A438" s="537"/>
      <c r="B438" s="284"/>
      <c r="C438" s="546"/>
      <c r="D438" s="580"/>
      <c r="E438" s="580"/>
      <c r="F438" s="580"/>
      <c r="G438" s="581"/>
      <c r="H438" s="456"/>
      <c r="I438" s="537"/>
      <c r="J438" s="537"/>
      <c r="K438" s="540"/>
      <c r="L438" s="466"/>
      <c r="M438" s="13" t="s">
        <v>301</v>
      </c>
      <c r="N438" s="14">
        <f>SUM(N435:N437)</f>
        <v>100000</v>
      </c>
      <c r="O438" s="289">
        <f>SUM(O435:O437)</f>
        <v>100000</v>
      </c>
      <c r="P438" s="289">
        <f>SUM(P435:P437)</f>
        <v>0</v>
      </c>
      <c r="Q438" s="289">
        <f>SUM(Q435:Q437)</f>
        <v>0</v>
      </c>
      <c r="R438" s="289">
        <f>SUM(R435:R437)</f>
        <v>0</v>
      </c>
      <c r="S438" s="506"/>
    </row>
    <row r="439" spans="1:19" s="143" customFormat="1" ht="15" customHeight="1">
      <c r="A439" s="537"/>
      <c r="B439" s="284"/>
      <c r="C439" s="546"/>
      <c r="D439" s="580"/>
      <c r="E439" s="580"/>
      <c r="F439" s="580"/>
      <c r="G439" s="581"/>
      <c r="H439" s="456"/>
      <c r="I439" s="537"/>
      <c r="J439" s="537"/>
      <c r="K439" s="540"/>
      <c r="L439" s="471" t="s">
        <v>302</v>
      </c>
      <c r="M439" s="291" t="s">
        <v>298</v>
      </c>
      <c r="N439" s="29">
        <v>22640541</v>
      </c>
      <c r="O439" s="10">
        <v>23545866</v>
      </c>
      <c r="P439" s="10"/>
      <c r="Q439" s="10"/>
      <c r="R439" s="10"/>
      <c r="S439" s="506"/>
    </row>
    <row r="440" spans="1:19" s="143" customFormat="1" ht="15" customHeight="1">
      <c r="A440" s="537"/>
      <c r="B440" s="284"/>
      <c r="C440" s="546"/>
      <c r="D440" s="580"/>
      <c r="E440" s="580"/>
      <c r="F440" s="580"/>
      <c r="G440" s="581"/>
      <c r="H440" s="456"/>
      <c r="I440" s="537"/>
      <c r="J440" s="537"/>
      <c r="K440" s="540"/>
      <c r="L440" s="467"/>
      <c r="M440" s="41" t="s">
        <v>299</v>
      </c>
      <c r="N440" s="11">
        <v>3995390</v>
      </c>
      <c r="O440" s="10">
        <v>4155153</v>
      </c>
      <c r="P440" s="10"/>
      <c r="Q440" s="10"/>
      <c r="R440" s="10"/>
      <c r="S440" s="506"/>
    </row>
    <row r="441" spans="1:19" s="143" customFormat="1" ht="15" customHeight="1">
      <c r="A441" s="537"/>
      <c r="B441" s="284"/>
      <c r="C441" s="546"/>
      <c r="D441" s="580"/>
      <c r="E441" s="580"/>
      <c r="F441" s="580"/>
      <c r="G441" s="581"/>
      <c r="H441" s="456"/>
      <c r="I441" s="537"/>
      <c r="J441" s="537"/>
      <c r="K441" s="540"/>
      <c r="L441" s="467"/>
      <c r="M441" s="41" t="s">
        <v>300</v>
      </c>
      <c r="N441" s="11">
        <v>17757287</v>
      </c>
      <c r="O441" s="10">
        <v>18467346</v>
      </c>
      <c r="P441" s="10"/>
      <c r="Q441" s="10"/>
      <c r="R441" s="10"/>
      <c r="S441" s="506"/>
    </row>
    <row r="442" spans="1:19" s="143" customFormat="1" ht="15" customHeight="1">
      <c r="A442" s="537"/>
      <c r="B442" s="284"/>
      <c r="C442" s="546"/>
      <c r="D442" s="580"/>
      <c r="E442" s="580"/>
      <c r="F442" s="580"/>
      <c r="G442" s="581"/>
      <c r="H442" s="456"/>
      <c r="I442" s="537"/>
      <c r="J442" s="537"/>
      <c r="K442" s="540"/>
      <c r="L442" s="466"/>
      <c r="M442" s="15" t="s">
        <v>301</v>
      </c>
      <c r="N442" s="16">
        <f>SUM(N439:N441)</f>
        <v>44393218</v>
      </c>
      <c r="O442" s="279">
        <f>SUM(O439:O441)</f>
        <v>46168365</v>
      </c>
      <c r="P442" s="279">
        <f>SUM(P439:P441)</f>
        <v>0</v>
      </c>
      <c r="Q442" s="279">
        <f>SUM(Q439:Q441)</f>
        <v>0</v>
      </c>
      <c r="R442" s="279">
        <f>SUM(R439:R441)</f>
        <v>0</v>
      </c>
      <c r="S442" s="506"/>
    </row>
    <row r="443" spans="1:19" s="303" customFormat="1" ht="15" customHeight="1">
      <c r="A443" s="537"/>
      <c r="B443" s="284"/>
      <c r="C443" s="546"/>
      <c r="D443" s="580"/>
      <c r="E443" s="580"/>
      <c r="F443" s="580"/>
      <c r="G443" s="581"/>
      <c r="H443" s="456"/>
      <c r="I443" s="537"/>
      <c r="J443" s="537"/>
      <c r="K443" s="540"/>
      <c r="L443" s="461" t="s">
        <v>301</v>
      </c>
      <c r="M443" s="291" t="s">
        <v>298</v>
      </c>
      <c r="N443" s="27">
        <f aca="true" t="shared" si="24" ref="N443:R445">N435+N439</f>
        <v>22691541</v>
      </c>
      <c r="O443" s="28">
        <f t="shared" si="24"/>
        <v>23596866</v>
      </c>
      <c r="P443" s="28">
        <f t="shared" si="24"/>
        <v>0</v>
      </c>
      <c r="Q443" s="28">
        <f t="shared" si="24"/>
        <v>0</v>
      </c>
      <c r="R443" s="28">
        <f t="shared" si="24"/>
        <v>0</v>
      </c>
      <c r="S443" s="506"/>
    </row>
    <row r="444" spans="1:19" s="303" customFormat="1" ht="15" customHeight="1">
      <c r="A444" s="537"/>
      <c r="B444" s="284"/>
      <c r="C444" s="546"/>
      <c r="D444" s="580"/>
      <c r="E444" s="580"/>
      <c r="F444" s="580"/>
      <c r="G444" s="581"/>
      <c r="H444" s="456"/>
      <c r="I444" s="537"/>
      <c r="J444" s="537"/>
      <c r="K444" s="540"/>
      <c r="L444" s="467"/>
      <c r="M444" s="41" t="s">
        <v>299</v>
      </c>
      <c r="N444" s="10">
        <f t="shared" si="24"/>
        <v>4004390</v>
      </c>
      <c r="O444" s="10">
        <f t="shared" si="24"/>
        <v>4164153</v>
      </c>
      <c r="P444" s="10">
        <f t="shared" si="24"/>
        <v>0</v>
      </c>
      <c r="Q444" s="10">
        <f t="shared" si="24"/>
        <v>0</v>
      </c>
      <c r="R444" s="10">
        <f t="shared" si="24"/>
        <v>0</v>
      </c>
      <c r="S444" s="506"/>
    </row>
    <row r="445" spans="1:19" s="303" customFormat="1" ht="15" customHeight="1">
      <c r="A445" s="537"/>
      <c r="B445" s="284"/>
      <c r="C445" s="546"/>
      <c r="D445" s="580"/>
      <c r="E445" s="580"/>
      <c r="F445" s="580"/>
      <c r="G445" s="581"/>
      <c r="H445" s="456"/>
      <c r="I445" s="537"/>
      <c r="J445" s="537"/>
      <c r="K445" s="540"/>
      <c r="L445" s="467"/>
      <c r="M445" s="41" t="s">
        <v>300</v>
      </c>
      <c r="N445" s="11">
        <f t="shared" si="24"/>
        <v>17797287</v>
      </c>
      <c r="O445" s="10">
        <f t="shared" si="24"/>
        <v>18507346</v>
      </c>
      <c r="P445" s="10">
        <f t="shared" si="24"/>
        <v>0</v>
      </c>
      <c r="Q445" s="10">
        <f t="shared" si="24"/>
        <v>0</v>
      </c>
      <c r="R445" s="10">
        <f t="shared" si="24"/>
        <v>0</v>
      </c>
      <c r="S445" s="506"/>
    </row>
    <row r="446" spans="1:19" s="304" customFormat="1" ht="15" customHeight="1" thickBot="1">
      <c r="A446" s="538"/>
      <c r="B446" s="284"/>
      <c r="C446" s="547"/>
      <c r="D446" s="582"/>
      <c r="E446" s="582"/>
      <c r="F446" s="582"/>
      <c r="G446" s="583"/>
      <c r="H446" s="535"/>
      <c r="I446" s="538"/>
      <c r="J446" s="538"/>
      <c r="K446" s="541"/>
      <c r="L446" s="469"/>
      <c r="M446" s="19" t="s">
        <v>301</v>
      </c>
      <c r="N446" s="20">
        <f>SUM(N443:N445)</f>
        <v>44493218</v>
      </c>
      <c r="O446" s="283">
        <f>SUM(O443:O445)</f>
        <v>46268365</v>
      </c>
      <c r="P446" s="283">
        <f>SUM(P443:P445)</f>
        <v>0</v>
      </c>
      <c r="Q446" s="283">
        <f>SUM(Q443:Q445)</f>
        <v>0</v>
      </c>
      <c r="R446" s="283">
        <f>SUM(R443:R445)</f>
        <v>0</v>
      </c>
      <c r="S446" s="507"/>
    </row>
    <row r="447" spans="1:19" s="37" customFormat="1" ht="20.25" customHeight="1" thickBot="1">
      <c r="A447" s="196"/>
      <c r="B447" s="105"/>
      <c r="C447" s="197" t="s">
        <v>424</v>
      </c>
      <c r="D447" s="196"/>
      <c r="E447" s="196"/>
      <c r="F447" s="196"/>
      <c r="G447" s="196"/>
      <c r="H447" s="196"/>
      <c r="I447" s="196"/>
      <c r="J447" s="196"/>
      <c r="K447" s="207"/>
      <c r="L447" s="196"/>
      <c r="M447" s="196"/>
      <c r="N447" s="196"/>
      <c r="O447" s="196"/>
      <c r="P447" s="196"/>
      <c r="Q447" s="196"/>
      <c r="R447" s="196"/>
      <c r="S447" s="198"/>
    </row>
    <row r="448" spans="1:19" s="143" customFormat="1" ht="15" customHeight="1">
      <c r="A448" s="528">
        <v>92195</v>
      </c>
      <c r="B448" s="284"/>
      <c r="C448" s="518"/>
      <c r="D448" s="522" t="s">
        <v>425</v>
      </c>
      <c r="E448" s="522"/>
      <c r="F448" s="522"/>
      <c r="G448" s="523"/>
      <c r="H448" s="508" t="s">
        <v>403</v>
      </c>
      <c r="I448" s="467" t="s">
        <v>295</v>
      </c>
      <c r="J448" s="467" t="s">
        <v>370</v>
      </c>
      <c r="K448" s="468">
        <v>748977</v>
      </c>
      <c r="L448" s="467" t="s">
        <v>297</v>
      </c>
      <c r="M448" s="248" t="s">
        <v>298</v>
      </c>
      <c r="N448" s="8">
        <v>278536</v>
      </c>
      <c r="O448" s="9">
        <v>239105</v>
      </c>
      <c r="P448" s="9">
        <v>35269</v>
      </c>
      <c r="Q448" s="9"/>
      <c r="R448" s="30"/>
      <c r="S448" s="505">
        <v>327689</v>
      </c>
    </row>
    <row r="449" spans="1:19" s="143" customFormat="1" ht="15" customHeight="1">
      <c r="A449" s="509"/>
      <c r="B449" s="284"/>
      <c r="C449" s="518"/>
      <c r="D449" s="522"/>
      <c r="E449" s="522"/>
      <c r="F449" s="522"/>
      <c r="G449" s="523"/>
      <c r="H449" s="467"/>
      <c r="I449" s="509"/>
      <c r="J449" s="509"/>
      <c r="K449" s="512"/>
      <c r="L449" s="467"/>
      <c r="M449" s="41" t="s">
        <v>299</v>
      </c>
      <c r="N449" s="10"/>
      <c r="O449" s="10"/>
      <c r="P449" s="10"/>
      <c r="Q449" s="10"/>
      <c r="R449" s="31"/>
      <c r="S449" s="506"/>
    </row>
    <row r="450" spans="1:19" s="143" customFormat="1" ht="15" customHeight="1">
      <c r="A450" s="509"/>
      <c r="B450" s="284"/>
      <c r="C450" s="518"/>
      <c r="D450" s="522"/>
      <c r="E450" s="522"/>
      <c r="F450" s="522"/>
      <c r="G450" s="523"/>
      <c r="H450" s="467"/>
      <c r="I450" s="509"/>
      <c r="J450" s="509"/>
      <c r="K450" s="512"/>
      <c r="L450" s="467"/>
      <c r="M450" s="41" t="s">
        <v>300</v>
      </c>
      <c r="N450" s="11">
        <v>49153</v>
      </c>
      <c r="O450" s="10">
        <v>42195</v>
      </c>
      <c r="P450" s="10">
        <v>6224</v>
      </c>
      <c r="Q450" s="10"/>
      <c r="R450" s="31"/>
      <c r="S450" s="506"/>
    </row>
    <row r="451" spans="1:19" s="143" customFormat="1" ht="15" customHeight="1" thickBot="1">
      <c r="A451" s="510"/>
      <c r="B451" s="284"/>
      <c r="C451" s="519"/>
      <c r="D451" s="524"/>
      <c r="E451" s="524"/>
      <c r="F451" s="524"/>
      <c r="G451" s="525"/>
      <c r="H451" s="469"/>
      <c r="I451" s="510"/>
      <c r="J451" s="510"/>
      <c r="K451" s="513"/>
      <c r="L451" s="469"/>
      <c r="M451" s="282" t="s">
        <v>301</v>
      </c>
      <c r="N451" s="280">
        <f>SUM(N448:N450)</f>
        <v>327689</v>
      </c>
      <c r="O451" s="283">
        <f>SUM(O448:O450)</f>
        <v>281300</v>
      </c>
      <c r="P451" s="283">
        <f>SUM(P448:P450)</f>
        <v>41493</v>
      </c>
      <c r="Q451" s="283">
        <f>SUM(Q448:Q450)</f>
        <v>0</v>
      </c>
      <c r="R451" s="292">
        <f>SUM(R448:R450)</f>
        <v>0</v>
      </c>
      <c r="S451" s="507"/>
    </row>
    <row r="452" spans="1:19" s="202" customFormat="1" ht="15" customHeight="1">
      <c r="A452" s="548"/>
      <c r="B452" s="105"/>
      <c r="C452" s="551" t="s">
        <v>123</v>
      </c>
      <c r="D452" s="552"/>
      <c r="E452" s="552"/>
      <c r="F452" s="552"/>
      <c r="G452" s="552"/>
      <c r="H452" s="552"/>
      <c r="I452" s="552"/>
      <c r="J452" s="553"/>
      <c r="K452" s="560">
        <f>K448+K435</f>
        <v>99648977</v>
      </c>
      <c r="L452" s="563" t="s">
        <v>297</v>
      </c>
      <c r="M452" s="111" t="s">
        <v>298</v>
      </c>
      <c r="N452" s="256">
        <f aca="true" t="shared" si="25" ref="N452:R454">N448+N435</f>
        <v>329536</v>
      </c>
      <c r="O452" s="94">
        <f t="shared" si="25"/>
        <v>290105</v>
      </c>
      <c r="P452" s="94">
        <f t="shared" si="25"/>
        <v>35269</v>
      </c>
      <c r="Q452" s="94">
        <f t="shared" si="25"/>
        <v>0</v>
      </c>
      <c r="R452" s="257">
        <f t="shared" si="25"/>
        <v>0</v>
      </c>
      <c r="S452" s="566">
        <f>S435+S448</f>
        <v>91089272</v>
      </c>
    </row>
    <row r="453" spans="1:19" s="202" customFormat="1" ht="15" customHeight="1">
      <c r="A453" s="549"/>
      <c r="B453" s="105"/>
      <c r="C453" s="554"/>
      <c r="D453" s="555"/>
      <c r="E453" s="555"/>
      <c r="F453" s="555"/>
      <c r="G453" s="555"/>
      <c r="H453" s="555"/>
      <c r="I453" s="555"/>
      <c r="J453" s="556"/>
      <c r="K453" s="561"/>
      <c r="L453" s="564"/>
      <c r="M453" s="251" t="s">
        <v>299</v>
      </c>
      <c r="N453" s="99">
        <f t="shared" si="25"/>
        <v>9000</v>
      </c>
      <c r="O453" s="96">
        <f t="shared" si="25"/>
        <v>9000</v>
      </c>
      <c r="P453" s="96">
        <f t="shared" si="25"/>
        <v>0</v>
      </c>
      <c r="Q453" s="96">
        <f t="shared" si="25"/>
        <v>0</v>
      </c>
      <c r="R453" s="259">
        <f t="shared" si="25"/>
        <v>0</v>
      </c>
      <c r="S453" s="567"/>
    </row>
    <row r="454" spans="1:19" s="202" customFormat="1" ht="15" customHeight="1">
      <c r="A454" s="549"/>
      <c r="B454" s="105"/>
      <c r="C454" s="554"/>
      <c r="D454" s="555"/>
      <c r="E454" s="555"/>
      <c r="F454" s="555"/>
      <c r="G454" s="555"/>
      <c r="H454" s="555"/>
      <c r="I454" s="555"/>
      <c r="J454" s="556"/>
      <c r="K454" s="561"/>
      <c r="L454" s="564"/>
      <c r="M454" s="251" t="s">
        <v>300</v>
      </c>
      <c r="N454" s="99">
        <f t="shared" si="25"/>
        <v>89153</v>
      </c>
      <c r="O454" s="96">
        <f t="shared" si="25"/>
        <v>82195</v>
      </c>
      <c r="P454" s="96">
        <f t="shared" si="25"/>
        <v>6224</v>
      </c>
      <c r="Q454" s="96">
        <f t="shared" si="25"/>
        <v>0</v>
      </c>
      <c r="R454" s="259">
        <f t="shared" si="25"/>
        <v>0</v>
      </c>
      <c r="S454" s="567"/>
    </row>
    <row r="455" spans="1:19" s="202" customFormat="1" ht="15" customHeight="1">
      <c r="A455" s="549"/>
      <c r="B455" s="105"/>
      <c r="C455" s="554"/>
      <c r="D455" s="555"/>
      <c r="E455" s="555"/>
      <c r="F455" s="555"/>
      <c r="G455" s="555"/>
      <c r="H455" s="555"/>
      <c r="I455" s="555"/>
      <c r="J455" s="556"/>
      <c r="K455" s="561"/>
      <c r="L455" s="565"/>
      <c r="M455" s="267" t="s">
        <v>301</v>
      </c>
      <c r="N455" s="97">
        <f>SUM(N452:N454)</f>
        <v>427689</v>
      </c>
      <c r="O455" s="98">
        <f>SUM(O452:O454)</f>
        <v>381300</v>
      </c>
      <c r="P455" s="98">
        <f>SUM(P452:P454)</f>
        <v>41493</v>
      </c>
      <c r="Q455" s="98">
        <f>SUM(Q452:Q454)</f>
        <v>0</v>
      </c>
      <c r="R455" s="260">
        <f>SUM(R452:R454)</f>
        <v>0</v>
      </c>
      <c r="S455" s="567"/>
    </row>
    <row r="456" spans="1:19" s="202" customFormat="1" ht="15" customHeight="1">
      <c r="A456" s="549"/>
      <c r="B456" s="105"/>
      <c r="C456" s="554"/>
      <c r="D456" s="555"/>
      <c r="E456" s="555"/>
      <c r="F456" s="555"/>
      <c r="G456" s="555"/>
      <c r="H456" s="555"/>
      <c r="I456" s="555"/>
      <c r="J456" s="556"/>
      <c r="K456" s="561"/>
      <c r="L456" s="569" t="s">
        <v>302</v>
      </c>
      <c r="M456" s="250" t="s">
        <v>298</v>
      </c>
      <c r="N456" s="99">
        <f aca="true" t="shared" si="26" ref="N456:R458">N439</f>
        <v>22640541</v>
      </c>
      <c r="O456" s="96">
        <f t="shared" si="26"/>
        <v>23545866</v>
      </c>
      <c r="P456" s="96">
        <f t="shared" si="26"/>
        <v>0</v>
      </c>
      <c r="Q456" s="96">
        <f t="shared" si="26"/>
        <v>0</v>
      </c>
      <c r="R456" s="259">
        <f t="shared" si="26"/>
        <v>0</v>
      </c>
      <c r="S456" s="567"/>
    </row>
    <row r="457" spans="1:19" s="202" customFormat="1" ht="15" customHeight="1">
      <c r="A457" s="549"/>
      <c r="B457" s="105"/>
      <c r="C457" s="554"/>
      <c r="D457" s="555"/>
      <c r="E457" s="555"/>
      <c r="F457" s="555"/>
      <c r="G457" s="555"/>
      <c r="H457" s="555"/>
      <c r="I457" s="555"/>
      <c r="J457" s="556"/>
      <c r="K457" s="561"/>
      <c r="L457" s="564"/>
      <c r="M457" s="251" t="s">
        <v>299</v>
      </c>
      <c r="N457" s="99">
        <f t="shared" si="26"/>
        <v>3995390</v>
      </c>
      <c r="O457" s="96">
        <f t="shared" si="26"/>
        <v>4155153</v>
      </c>
      <c r="P457" s="96">
        <f t="shared" si="26"/>
        <v>0</v>
      </c>
      <c r="Q457" s="96">
        <f t="shared" si="26"/>
        <v>0</v>
      </c>
      <c r="R457" s="259">
        <f t="shared" si="26"/>
        <v>0</v>
      </c>
      <c r="S457" s="567"/>
    </row>
    <row r="458" spans="1:19" s="202" customFormat="1" ht="15" customHeight="1">
      <c r="A458" s="549"/>
      <c r="B458" s="105"/>
      <c r="C458" s="554"/>
      <c r="D458" s="555"/>
      <c r="E458" s="555"/>
      <c r="F458" s="555"/>
      <c r="G458" s="555"/>
      <c r="H458" s="555"/>
      <c r="I458" s="555"/>
      <c r="J458" s="556"/>
      <c r="K458" s="561"/>
      <c r="L458" s="564"/>
      <c r="M458" s="251" t="s">
        <v>300</v>
      </c>
      <c r="N458" s="99">
        <f t="shared" si="26"/>
        <v>17757287</v>
      </c>
      <c r="O458" s="96">
        <f t="shared" si="26"/>
        <v>18467346</v>
      </c>
      <c r="P458" s="96">
        <f t="shared" si="26"/>
        <v>0</v>
      </c>
      <c r="Q458" s="96">
        <f t="shared" si="26"/>
        <v>0</v>
      </c>
      <c r="R458" s="259">
        <f t="shared" si="26"/>
        <v>0</v>
      </c>
      <c r="S458" s="567"/>
    </row>
    <row r="459" spans="1:19" s="202" customFormat="1" ht="15" customHeight="1">
      <c r="A459" s="549"/>
      <c r="B459" s="105"/>
      <c r="C459" s="554"/>
      <c r="D459" s="555"/>
      <c r="E459" s="555"/>
      <c r="F459" s="555"/>
      <c r="G459" s="555"/>
      <c r="H459" s="555"/>
      <c r="I459" s="555"/>
      <c r="J459" s="556"/>
      <c r="K459" s="561"/>
      <c r="L459" s="565"/>
      <c r="M459" s="268" t="s">
        <v>301</v>
      </c>
      <c r="N459" s="99">
        <f>SUM(N456:N458)</f>
        <v>44393218</v>
      </c>
      <c r="O459" s="96">
        <f>SUM(O456:O458)</f>
        <v>46168365</v>
      </c>
      <c r="P459" s="96">
        <f>SUM(P456:P458)</f>
        <v>0</v>
      </c>
      <c r="Q459" s="96">
        <f>SUM(Q456:Q458)</f>
        <v>0</v>
      </c>
      <c r="R459" s="252">
        <f>SUM(R456:R458)</f>
        <v>0</v>
      </c>
      <c r="S459" s="567"/>
    </row>
    <row r="460" spans="1:19" s="247" customFormat="1" ht="15" customHeight="1">
      <c r="A460" s="549"/>
      <c r="B460" s="105"/>
      <c r="C460" s="554"/>
      <c r="D460" s="555"/>
      <c r="E460" s="555"/>
      <c r="F460" s="555"/>
      <c r="G460" s="555"/>
      <c r="H460" s="555"/>
      <c r="I460" s="555"/>
      <c r="J460" s="556"/>
      <c r="K460" s="561"/>
      <c r="L460" s="570" t="s">
        <v>301</v>
      </c>
      <c r="M460" s="261" t="s">
        <v>298</v>
      </c>
      <c r="N460" s="262">
        <f aca="true" t="shared" si="27" ref="N460:R462">N452+N456</f>
        <v>22970077</v>
      </c>
      <c r="O460" s="263">
        <f t="shared" si="27"/>
        <v>23835971</v>
      </c>
      <c r="P460" s="263">
        <f t="shared" si="27"/>
        <v>35269</v>
      </c>
      <c r="Q460" s="263">
        <f t="shared" si="27"/>
        <v>0</v>
      </c>
      <c r="R460" s="264">
        <f t="shared" si="27"/>
        <v>0</v>
      </c>
      <c r="S460" s="567"/>
    </row>
    <row r="461" spans="1:19" s="247" customFormat="1" ht="15" customHeight="1">
      <c r="A461" s="549"/>
      <c r="B461" s="105"/>
      <c r="C461" s="554"/>
      <c r="D461" s="555"/>
      <c r="E461" s="555"/>
      <c r="F461" s="555"/>
      <c r="G461" s="555"/>
      <c r="H461" s="555"/>
      <c r="I461" s="555"/>
      <c r="J461" s="556"/>
      <c r="K461" s="561"/>
      <c r="L461" s="571"/>
      <c r="M461" s="258" t="s">
        <v>299</v>
      </c>
      <c r="N461" s="265">
        <f t="shared" si="27"/>
        <v>4004390</v>
      </c>
      <c r="O461" s="88">
        <f t="shared" si="27"/>
        <v>4164153</v>
      </c>
      <c r="P461" s="88">
        <f t="shared" si="27"/>
        <v>0</v>
      </c>
      <c r="Q461" s="88">
        <f t="shared" si="27"/>
        <v>0</v>
      </c>
      <c r="R461" s="266">
        <f t="shared" si="27"/>
        <v>0</v>
      </c>
      <c r="S461" s="567"/>
    </row>
    <row r="462" spans="1:19" s="247" customFormat="1" ht="15" customHeight="1">
      <c r="A462" s="549"/>
      <c r="B462" s="105"/>
      <c r="C462" s="554"/>
      <c r="D462" s="555"/>
      <c r="E462" s="555"/>
      <c r="F462" s="555"/>
      <c r="G462" s="555"/>
      <c r="H462" s="555"/>
      <c r="I462" s="555"/>
      <c r="J462" s="556"/>
      <c r="K462" s="561"/>
      <c r="L462" s="571"/>
      <c r="M462" s="258" t="s">
        <v>300</v>
      </c>
      <c r="N462" s="91">
        <f t="shared" si="27"/>
        <v>17846440</v>
      </c>
      <c r="O462" s="88">
        <f t="shared" si="27"/>
        <v>18549541</v>
      </c>
      <c r="P462" s="88">
        <f t="shared" si="27"/>
        <v>6224</v>
      </c>
      <c r="Q462" s="88">
        <f t="shared" si="27"/>
        <v>0</v>
      </c>
      <c r="R462" s="266">
        <f t="shared" si="27"/>
        <v>0</v>
      </c>
      <c r="S462" s="567"/>
    </row>
    <row r="463" spans="1:19" s="249" customFormat="1" ht="15" customHeight="1" thickBot="1">
      <c r="A463" s="550"/>
      <c r="B463" s="105"/>
      <c r="C463" s="557"/>
      <c r="D463" s="558"/>
      <c r="E463" s="558"/>
      <c r="F463" s="558"/>
      <c r="G463" s="558"/>
      <c r="H463" s="558"/>
      <c r="I463" s="558"/>
      <c r="J463" s="559"/>
      <c r="K463" s="562"/>
      <c r="L463" s="572"/>
      <c r="M463" s="253" t="s">
        <v>301</v>
      </c>
      <c r="N463" s="254">
        <f>SUM(N460:N462)</f>
        <v>44820907</v>
      </c>
      <c r="O463" s="92">
        <f>SUM(O460:O462)</f>
        <v>46549665</v>
      </c>
      <c r="P463" s="92">
        <f>SUM(P460:P462)</f>
        <v>41493</v>
      </c>
      <c r="Q463" s="92">
        <f>SUM(Q460:Q462)</f>
        <v>0</v>
      </c>
      <c r="R463" s="255">
        <f>SUM(R460:R462)</f>
        <v>0</v>
      </c>
      <c r="S463" s="568"/>
    </row>
    <row r="464" spans="1:19" s="195" customFormat="1" ht="20.25" customHeight="1" thickBot="1">
      <c r="A464" s="189"/>
      <c r="B464" s="190"/>
      <c r="C464" s="459" t="s">
        <v>426</v>
      </c>
      <c r="D464" s="455" t="s">
        <v>396</v>
      </c>
      <c r="E464" s="455"/>
      <c r="F464" s="455"/>
      <c r="G464" s="455"/>
      <c r="H464" s="191"/>
      <c r="I464" s="191"/>
      <c r="J464" s="191"/>
      <c r="K464" s="206"/>
      <c r="L464" s="189"/>
      <c r="M464" s="192"/>
      <c r="N464" s="193"/>
      <c r="O464" s="193"/>
      <c r="P464" s="193"/>
      <c r="Q464" s="193"/>
      <c r="R464" s="193"/>
      <c r="S464" s="194"/>
    </row>
    <row r="465" spans="1:19" s="37" customFormat="1" ht="20.25" customHeight="1" thickBot="1">
      <c r="A465" s="196"/>
      <c r="B465" s="105"/>
      <c r="C465" s="197" t="s">
        <v>427</v>
      </c>
      <c r="D465" s="196"/>
      <c r="E465" s="196"/>
      <c r="F465" s="196"/>
      <c r="G465" s="196"/>
      <c r="H465" s="196"/>
      <c r="I465" s="196"/>
      <c r="J465" s="196"/>
      <c r="K465" s="207"/>
      <c r="L465" s="196"/>
      <c r="M465" s="196"/>
      <c r="N465" s="196"/>
      <c r="O465" s="196"/>
      <c r="P465" s="196"/>
      <c r="Q465" s="196"/>
      <c r="R465" s="196"/>
      <c r="S465" s="198"/>
    </row>
    <row r="466" spans="1:19" s="143" customFormat="1" ht="15" customHeight="1">
      <c r="A466" s="528">
        <v>75075</v>
      </c>
      <c r="B466" s="284"/>
      <c r="C466" s="518"/>
      <c r="D466" s="653" t="s">
        <v>451</v>
      </c>
      <c r="E466" s="653"/>
      <c r="F466" s="653"/>
      <c r="G466" s="654"/>
      <c r="H466" s="456" t="s">
        <v>122</v>
      </c>
      <c r="I466" s="456" t="s">
        <v>295</v>
      </c>
      <c r="J466" s="467" t="s">
        <v>327</v>
      </c>
      <c r="K466" s="468">
        <v>680000</v>
      </c>
      <c r="L466" s="467" t="s">
        <v>297</v>
      </c>
      <c r="M466" s="248" t="s">
        <v>298</v>
      </c>
      <c r="N466" s="8">
        <v>510000</v>
      </c>
      <c r="O466" s="9">
        <v>68000</v>
      </c>
      <c r="P466" s="9"/>
      <c r="Q466" s="9"/>
      <c r="R466" s="30"/>
      <c r="S466" s="505">
        <v>680000</v>
      </c>
    </row>
    <row r="467" spans="1:19" s="143" customFormat="1" ht="15" customHeight="1">
      <c r="A467" s="509"/>
      <c r="B467" s="284"/>
      <c r="C467" s="518"/>
      <c r="D467" s="653"/>
      <c r="E467" s="653"/>
      <c r="F467" s="653"/>
      <c r="G467" s="654"/>
      <c r="H467" s="457"/>
      <c r="I467" s="457"/>
      <c r="J467" s="509"/>
      <c r="K467" s="512"/>
      <c r="L467" s="467"/>
      <c r="M467" s="41" t="s">
        <v>299</v>
      </c>
      <c r="N467" s="10"/>
      <c r="O467" s="10"/>
      <c r="P467" s="10"/>
      <c r="Q467" s="10"/>
      <c r="R467" s="31"/>
      <c r="S467" s="506"/>
    </row>
    <row r="468" spans="1:19" s="143" customFormat="1" ht="15" customHeight="1">
      <c r="A468" s="509"/>
      <c r="B468" s="284"/>
      <c r="C468" s="518"/>
      <c r="D468" s="653"/>
      <c r="E468" s="653"/>
      <c r="F468" s="653"/>
      <c r="G468" s="654"/>
      <c r="H468" s="457"/>
      <c r="I468" s="457"/>
      <c r="J468" s="509"/>
      <c r="K468" s="512"/>
      <c r="L468" s="467"/>
      <c r="M468" s="41" t="s">
        <v>300</v>
      </c>
      <c r="N468" s="11">
        <v>90000</v>
      </c>
      <c r="O468" s="10">
        <v>12000</v>
      </c>
      <c r="P468" s="10"/>
      <c r="Q468" s="10"/>
      <c r="R468" s="31"/>
      <c r="S468" s="506"/>
    </row>
    <row r="469" spans="1:19" s="143" customFormat="1" ht="15" customHeight="1" thickBot="1">
      <c r="A469" s="510"/>
      <c r="B469" s="284"/>
      <c r="C469" s="519"/>
      <c r="D469" s="655"/>
      <c r="E469" s="655"/>
      <c r="F469" s="655"/>
      <c r="G469" s="656"/>
      <c r="H469" s="458"/>
      <c r="I469" s="458"/>
      <c r="J469" s="510"/>
      <c r="K469" s="513"/>
      <c r="L469" s="469"/>
      <c r="M469" s="282" t="s">
        <v>301</v>
      </c>
      <c r="N469" s="280">
        <f>SUM(N466:N468)</f>
        <v>600000</v>
      </c>
      <c r="O469" s="283">
        <f>SUM(O466:O468)</f>
        <v>80000</v>
      </c>
      <c r="P469" s="283">
        <f>SUM(P466:P468)</f>
        <v>0</v>
      </c>
      <c r="Q469" s="283">
        <f>SUM(Q466:Q468)</f>
        <v>0</v>
      </c>
      <c r="R469" s="292">
        <f>SUM(R466:R468)</f>
        <v>0</v>
      </c>
      <c r="S469" s="507"/>
    </row>
    <row r="470" spans="1:19" s="247" customFormat="1" ht="15" customHeight="1">
      <c r="A470" s="549"/>
      <c r="B470" s="105"/>
      <c r="C470" s="644" t="s">
        <v>517</v>
      </c>
      <c r="D470" s="645"/>
      <c r="E470" s="645"/>
      <c r="F470" s="645"/>
      <c r="G470" s="645"/>
      <c r="H470" s="645"/>
      <c r="I470" s="645"/>
      <c r="J470" s="646"/>
      <c r="K470" s="561">
        <f>K466</f>
        <v>680000</v>
      </c>
      <c r="L470" s="570" t="s">
        <v>301</v>
      </c>
      <c r="M470" s="261" t="s">
        <v>298</v>
      </c>
      <c r="N470" s="262">
        <f>N466</f>
        <v>510000</v>
      </c>
      <c r="O470" s="263">
        <f aca="true" t="shared" si="28" ref="O470:R472">O466</f>
        <v>68000</v>
      </c>
      <c r="P470" s="263">
        <f t="shared" si="28"/>
        <v>0</v>
      </c>
      <c r="Q470" s="263">
        <f t="shared" si="28"/>
        <v>0</v>
      </c>
      <c r="R470" s="264">
        <f t="shared" si="28"/>
        <v>0</v>
      </c>
      <c r="S470" s="567">
        <f>S466</f>
        <v>680000</v>
      </c>
    </row>
    <row r="471" spans="1:19" s="247" customFormat="1" ht="15" customHeight="1">
      <c r="A471" s="549"/>
      <c r="B471" s="105"/>
      <c r="C471" s="647"/>
      <c r="D471" s="648"/>
      <c r="E471" s="648"/>
      <c r="F471" s="648"/>
      <c r="G471" s="648"/>
      <c r="H471" s="648"/>
      <c r="I471" s="648"/>
      <c r="J471" s="649"/>
      <c r="K471" s="561"/>
      <c r="L471" s="571"/>
      <c r="M471" s="258" t="s">
        <v>299</v>
      </c>
      <c r="N471" s="265">
        <f>N467</f>
        <v>0</v>
      </c>
      <c r="O471" s="88">
        <f t="shared" si="28"/>
        <v>0</v>
      </c>
      <c r="P471" s="88">
        <f t="shared" si="28"/>
        <v>0</v>
      </c>
      <c r="Q471" s="88">
        <f t="shared" si="28"/>
        <v>0</v>
      </c>
      <c r="R471" s="266">
        <f t="shared" si="28"/>
        <v>0</v>
      </c>
      <c r="S471" s="567"/>
    </row>
    <row r="472" spans="1:19" s="247" customFormat="1" ht="15" customHeight="1">
      <c r="A472" s="549"/>
      <c r="B472" s="105"/>
      <c r="C472" s="647"/>
      <c r="D472" s="648"/>
      <c r="E472" s="648"/>
      <c r="F472" s="648"/>
      <c r="G472" s="648"/>
      <c r="H472" s="648"/>
      <c r="I472" s="648"/>
      <c r="J472" s="649"/>
      <c r="K472" s="561"/>
      <c r="L472" s="571"/>
      <c r="M472" s="258" t="s">
        <v>300</v>
      </c>
      <c r="N472" s="91">
        <f>N468</f>
        <v>90000</v>
      </c>
      <c r="O472" s="88">
        <f t="shared" si="28"/>
        <v>12000</v>
      </c>
      <c r="P472" s="88">
        <f t="shared" si="28"/>
        <v>0</v>
      </c>
      <c r="Q472" s="88">
        <f t="shared" si="28"/>
        <v>0</v>
      </c>
      <c r="R472" s="266">
        <f t="shared" si="28"/>
        <v>0</v>
      </c>
      <c r="S472" s="567"/>
    </row>
    <row r="473" spans="1:19" s="249" customFormat="1" ht="15" customHeight="1" thickBot="1">
      <c r="A473" s="550"/>
      <c r="B473" s="105"/>
      <c r="C473" s="650"/>
      <c r="D473" s="651"/>
      <c r="E473" s="651"/>
      <c r="F473" s="651"/>
      <c r="G473" s="651"/>
      <c r="H473" s="651"/>
      <c r="I473" s="651"/>
      <c r="J473" s="652"/>
      <c r="K473" s="562"/>
      <c r="L473" s="572"/>
      <c r="M473" s="253" t="s">
        <v>301</v>
      </c>
      <c r="N473" s="254">
        <f>SUM(N470:N472)</f>
        <v>600000</v>
      </c>
      <c r="O473" s="92">
        <f>SUM(O470:O472)</f>
        <v>80000</v>
      </c>
      <c r="P473" s="92">
        <f>SUM(P470:P472)</f>
        <v>0</v>
      </c>
      <c r="Q473" s="92">
        <f>SUM(Q470:Q472)</f>
        <v>0</v>
      </c>
      <c r="R473" s="255">
        <f>SUM(R470:R472)</f>
        <v>0</v>
      </c>
      <c r="S473" s="568"/>
    </row>
    <row r="474" spans="1:19" s="32" customFormat="1" ht="15" customHeight="1">
      <c r="A474" s="676"/>
      <c r="B474" s="107"/>
      <c r="C474" s="665" t="s">
        <v>428</v>
      </c>
      <c r="D474" s="666"/>
      <c r="E474" s="666"/>
      <c r="F474" s="666"/>
      <c r="G474" s="666"/>
      <c r="H474" s="666"/>
      <c r="I474" s="666"/>
      <c r="J474" s="667"/>
      <c r="K474" s="679">
        <f>K470+K452+K419+K389+K297+K102+K84+K56</f>
        <v>2443795334</v>
      </c>
      <c r="L474" s="682" t="s">
        <v>297</v>
      </c>
      <c r="M474" s="311" t="s">
        <v>298</v>
      </c>
      <c r="N474" s="325">
        <f aca="true" t="shared" si="29" ref="N474:S474">N470+N452+N419+N389+N297+N102+N84+N56</f>
        <v>31286420</v>
      </c>
      <c r="O474" s="326">
        <f t="shared" si="29"/>
        <v>7830746</v>
      </c>
      <c r="P474" s="326">
        <f t="shared" si="29"/>
        <v>950957</v>
      </c>
      <c r="Q474" s="327">
        <f t="shared" si="29"/>
        <v>0</v>
      </c>
      <c r="R474" s="328">
        <f t="shared" si="29"/>
        <v>0</v>
      </c>
      <c r="S474" s="657">
        <f t="shared" si="29"/>
        <v>1012899643</v>
      </c>
    </row>
    <row r="475" spans="1:19" s="32" customFormat="1" ht="15" customHeight="1">
      <c r="A475" s="677"/>
      <c r="B475" s="107"/>
      <c r="C475" s="668"/>
      <c r="D475" s="669"/>
      <c r="E475" s="669"/>
      <c r="F475" s="669"/>
      <c r="G475" s="669"/>
      <c r="H475" s="669"/>
      <c r="I475" s="669"/>
      <c r="J475" s="670"/>
      <c r="K475" s="680"/>
      <c r="L475" s="661"/>
      <c r="M475" s="312" t="s">
        <v>299</v>
      </c>
      <c r="N475" s="329">
        <f aca="true" t="shared" si="30" ref="N475:R476">N471+N453+N420+N390+N298+N103+N85+N57</f>
        <v>3243535</v>
      </c>
      <c r="O475" s="330">
        <f t="shared" si="30"/>
        <v>777950</v>
      </c>
      <c r="P475" s="330">
        <f t="shared" si="30"/>
        <v>151647</v>
      </c>
      <c r="Q475" s="331">
        <f t="shared" si="30"/>
        <v>0</v>
      </c>
      <c r="R475" s="332">
        <f t="shared" si="30"/>
        <v>0</v>
      </c>
      <c r="S475" s="658"/>
    </row>
    <row r="476" spans="1:19" s="32" customFormat="1" ht="15" customHeight="1">
      <c r="A476" s="677"/>
      <c r="B476" s="107"/>
      <c r="C476" s="668"/>
      <c r="D476" s="669"/>
      <c r="E476" s="669"/>
      <c r="F476" s="669"/>
      <c r="G476" s="669"/>
      <c r="H476" s="669"/>
      <c r="I476" s="669"/>
      <c r="J476" s="670"/>
      <c r="K476" s="680"/>
      <c r="L476" s="661"/>
      <c r="M476" s="312" t="s">
        <v>300</v>
      </c>
      <c r="N476" s="329">
        <f t="shared" si="30"/>
        <v>4113060</v>
      </c>
      <c r="O476" s="330">
        <f t="shared" si="30"/>
        <v>844251</v>
      </c>
      <c r="P476" s="330">
        <f t="shared" si="30"/>
        <v>65851</v>
      </c>
      <c r="Q476" s="331">
        <f t="shared" si="30"/>
        <v>0</v>
      </c>
      <c r="R476" s="332">
        <f t="shared" si="30"/>
        <v>0</v>
      </c>
      <c r="S476" s="658"/>
    </row>
    <row r="477" spans="1:19" s="32" customFormat="1" ht="25.5">
      <c r="A477" s="677"/>
      <c r="B477" s="107"/>
      <c r="C477" s="668"/>
      <c r="D477" s="669"/>
      <c r="E477" s="669"/>
      <c r="F477" s="669"/>
      <c r="G477" s="669"/>
      <c r="H477" s="669"/>
      <c r="I477" s="669"/>
      <c r="J477" s="670"/>
      <c r="K477" s="680"/>
      <c r="L477" s="661"/>
      <c r="M477" s="312" t="s">
        <v>323</v>
      </c>
      <c r="N477" s="329">
        <f>N300</f>
        <v>418711</v>
      </c>
      <c r="O477" s="330">
        <f>O300</f>
        <v>416394</v>
      </c>
      <c r="P477" s="330">
        <f>P300</f>
        <v>0</v>
      </c>
      <c r="Q477" s="331">
        <f>Q300</f>
        <v>0</v>
      </c>
      <c r="R477" s="332">
        <f>R300</f>
        <v>0</v>
      </c>
      <c r="S477" s="658"/>
    </row>
    <row r="478" spans="1:19" s="32" customFormat="1" ht="25.5">
      <c r="A478" s="677"/>
      <c r="B478" s="107"/>
      <c r="C478" s="668"/>
      <c r="D478" s="669"/>
      <c r="E478" s="669"/>
      <c r="F478" s="669"/>
      <c r="G478" s="669"/>
      <c r="H478" s="669"/>
      <c r="I478" s="669"/>
      <c r="J478" s="670"/>
      <c r="K478" s="680"/>
      <c r="L478" s="661"/>
      <c r="M478" s="312" t="s">
        <v>446</v>
      </c>
      <c r="N478" s="333">
        <f>N392+N301</f>
        <v>401556</v>
      </c>
      <c r="O478" s="334">
        <f>O392+O301</f>
        <v>84768</v>
      </c>
      <c r="P478" s="334">
        <f>P392+P301</f>
        <v>69287</v>
      </c>
      <c r="Q478" s="335">
        <f>Q392+Q301</f>
        <v>0</v>
      </c>
      <c r="R478" s="336">
        <f>R392+R301</f>
        <v>0</v>
      </c>
      <c r="S478" s="658"/>
    </row>
    <row r="479" spans="1:19" s="32" customFormat="1" ht="15" customHeight="1">
      <c r="A479" s="677"/>
      <c r="B479" s="107"/>
      <c r="C479" s="668"/>
      <c r="D479" s="669"/>
      <c r="E479" s="669"/>
      <c r="F479" s="669"/>
      <c r="G479" s="669"/>
      <c r="H479" s="669"/>
      <c r="I479" s="669"/>
      <c r="J479" s="670"/>
      <c r="K479" s="680"/>
      <c r="L479" s="662"/>
      <c r="M479" s="319" t="s">
        <v>301</v>
      </c>
      <c r="N479" s="315">
        <f>SUM(N474:N478)</f>
        <v>39463282</v>
      </c>
      <c r="O479" s="316">
        <f>SUM(O474:O478)</f>
        <v>9954109</v>
      </c>
      <c r="P479" s="316">
        <f>SUM(P474:P478)</f>
        <v>1237742</v>
      </c>
      <c r="Q479" s="317">
        <f>SUM(Q474:Q478)</f>
        <v>0</v>
      </c>
      <c r="R479" s="318">
        <f>SUM(R474:R478)</f>
        <v>0</v>
      </c>
      <c r="S479" s="658"/>
    </row>
    <row r="480" spans="1:19" s="32" customFormat="1" ht="15" customHeight="1">
      <c r="A480" s="677"/>
      <c r="B480" s="107"/>
      <c r="C480" s="668"/>
      <c r="D480" s="669"/>
      <c r="E480" s="669"/>
      <c r="F480" s="669"/>
      <c r="G480" s="669"/>
      <c r="H480" s="669"/>
      <c r="I480" s="669"/>
      <c r="J480" s="670"/>
      <c r="K480" s="680"/>
      <c r="L480" s="660" t="s">
        <v>302</v>
      </c>
      <c r="M480" s="320" t="s">
        <v>298</v>
      </c>
      <c r="N480" s="329">
        <f aca="true" t="shared" si="31" ref="N480:R482">N456+N423+N394+N303+N88+N60</f>
        <v>186468258</v>
      </c>
      <c r="O480" s="330">
        <f t="shared" si="31"/>
        <v>183353933</v>
      </c>
      <c r="P480" s="330">
        <f t="shared" si="31"/>
        <v>179572500</v>
      </c>
      <c r="Q480" s="331">
        <f t="shared" si="31"/>
        <v>153659440</v>
      </c>
      <c r="R480" s="332">
        <f t="shared" si="31"/>
        <v>101000000</v>
      </c>
      <c r="S480" s="658"/>
    </row>
    <row r="481" spans="1:19" s="32" customFormat="1" ht="15" customHeight="1">
      <c r="A481" s="677"/>
      <c r="B481" s="107"/>
      <c r="C481" s="668"/>
      <c r="D481" s="669"/>
      <c r="E481" s="669"/>
      <c r="F481" s="669"/>
      <c r="G481" s="669"/>
      <c r="H481" s="669"/>
      <c r="I481" s="669"/>
      <c r="J481" s="670"/>
      <c r="K481" s="680"/>
      <c r="L481" s="661"/>
      <c r="M481" s="312" t="s">
        <v>299</v>
      </c>
      <c r="N481" s="329">
        <f t="shared" si="31"/>
        <v>4048456</v>
      </c>
      <c r="O481" s="330">
        <f t="shared" si="31"/>
        <v>4155153</v>
      </c>
      <c r="P481" s="330">
        <f t="shared" si="31"/>
        <v>0</v>
      </c>
      <c r="Q481" s="331">
        <f t="shared" si="31"/>
        <v>0</v>
      </c>
      <c r="R481" s="332">
        <f t="shared" si="31"/>
        <v>0</v>
      </c>
      <c r="S481" s="658"/>
    </row>
    <row r="482" spans="1:19" s="32" customFormat="1" ht="15" customHeight="1">
      <c r="A482" s="677"/>
      <c r="B482" s="107"/>
      <c r="C482" s="668"/>
      <c r="D482" s="669"/>
      <c r="E482" s="669"/>
      <c r="F482" s="669"/>
      <c r="G482" s="669"/>
      <c r="H482" s="669"/>
      <c r="I482" s="669"/>
      <c r="J482" s="670"/>
      <c r="K482" s="680"/>
      <c r="L482" s="661"/>
      <c r="M482" s="312" t="s">
        <v>300</v>
      </c>
      <c r="N482" s="329">
        <f t="shared" si="31"/>
        <v>272828684</v>
      </c>
      <c r="O482" s="330">
        <f t="shared" si="31"/>
        <v>169817636</v>
      </c>
      <c r="P482" s="330">
        <f t="shared" si="31"/>
        <v>104232880</v>
      </c>
      <c r="Q482" s="331">
        <f t="shared" si="31"/>
        <v>37540560</v>
      </c>
      <c r="R482" s="332">
        <f t="shared" si="31"/>
        <v>2348500</v>
      </c>
      <c r="S482" s="658"/>
    </row>
    <row r="483" spans="1:19" s="32" customFormat="1" ht="25.5">
      <c r="A483" s="677"/>
      <c r="B483" s="107"/>
      <c r="C483" s="668"/>
      <c r="D483" s="669"/>
      <c r="E483" s="669"/>
      <c r="F483" s="669"/>
      <c r="G483" s="669"/>
      <c r="H483" s="669"/>
      <c r="I483" s="669"/>
      <c r="J483" s="670"/>
      <c r="K483" s="680"/>
      <c r="L483" s="661"/>
      <c r="M483" s="312" t="s">
        <v>446</v>
      </c>
      <c r="N483" s="329">
        <f>N431</f>
        <v>1142554</v>
      </c>
      <c r="O483" s="330">
        <f>O431</f>
        <v>0</v>
      </c>
      <c r="P483" s="330">
        <f>P431</f>
        <v>0</v>
      </c>
      <c r="Q483" s="331">
        <f>Q431</f>
        <v>0</v>
      </c>
      <c r="R483" s="332">
        <f>R431</f>
        <v>0</v>
      </c>
      <c r="S483" s="658"/>
    </row>
    <row r="484" spans="1:19" s="32" customFormat="1" ht="15" customHeight="1">
      <c r="A484" s="677"/>
      <c r="B484" s="107"/>
      <c r="C484" s="668"/>
      <c r="D484" s="669"/>
      <c r="E484" s="669"/>
      <c r="F484" s="669"/>
      <c r="G484" s="669"/>
      <c r="H484" s="669"/>
      <c r="I484" s="669"/>
      <c r="J484" s="670"/>
      <c r="K484" s="680"/>
      <c r="L484" s="662"/>
      <c r="M484" s="321" t="s">
        <v>301</v>
      </c>
      <c r="N484" s="322">
        <f>SUM(N480:N483)</f>
        <v>464487952</v>
      </c>
      <c r="O484" s="313">
        <f>SUM(O480:O483)</f>
        <v>357326722</v>
      </c>
      <c r="P484" s="313">
        <f>SUM(P480:P483)</f>
        <v>283805380</v>
      </c>
      <c r="Q484" s="314">
        <f>SUM(Q480:Q483)</f>
        <v>191200000</v>
      </c>
      <c r="R484" s="323">
        <f>SUM(R480:R483)</f>
        <v>103348500</v>
      </c>
      <c r="S484" s="658"/>
    </row>
    <row r="485" spans="1:19" s="34" customFormat="1" ht="15" customHeight="1">
      <c r="A485" s="677"/>
      <c r="B485" s="107"/>
      <c r="C485" s="668"/>
      <c r="D485" s="669"/>
      <c r="E485" s="669"/>
      <c r="F485" s="669"/>
      <c r="G485" s="669"/>
      <c r="H485" s="669"/>
      <c r="I485" s="669"/>
      <c r="J485" s="670"/>
      <c r="K485" s="680"/>
      <c r="L485" s="663" t="s">
        <v>301</v>
      </c>
      <c r="M485" s="320" t="s">
        <v>298</v>
      </c>
      <c r="N485" s="337">
        <f aca="true" t="shared" si="32" ref="N485:R487">N474+N480</f>
        <v>217754678</v>
      </c>
      <c r="O485" s="338">
        <f t="shared" si="32"/>
        <v>191184679</v>
      </c>
      <c r="P485" s="338">
        <f t="shared" si="32"/>
        <v>180523457</v>
      </c>
      <c r="Q485" s="338">
        <f t="shared" si="32"/>
        <v>153659440</v>
      </c>
      <c r="R485" s="339">
        <f t="shared" si="32"/>
        <v>101000000</v>
      </c>
      <c r="S485" s="658"/>
    </row>
    <row r="486" spans="1:19" s="34" customFormat="1" ht="15" customHeight="1">
      <c r="A486" s="677"/>
      <c r="B486" s="107"/>
      <c r="C486" s="668"/>
      <c r="D486" s="669"/>
      <c r="E486" s="669"/>
      <c r="F486" s="669"/>
      <c r="G486" s="669"/>
      <c r="H486" s="669"/>
      <c r="I486" s="669"/>
      <c r="J486" s="670"/>
      <c r="K486" s="680"/>
      <c r="L486" s="661"/>
      <c r="M486" s="312" t="s">
        <v>299</v>
      </c>
      <c r="N486" s="340">
        <f t="shared" si="32"/>
        <v>7291991</v>
      </c>
      <c r="O486" s="341">
        <f t="shared" si="32"/>
        <v>4933103</v>
      </c>
      <c r="P486" s="341">
        <f t="shared" si="32"/>
        <v>151647</v>
      </c>
      <c r="Q486" s="341">
        <f t="shared" si="32"/>
        <v>0</v>
      </c>
      <c r="R486" s="342">
        <f t="shared" si="32"/>
        <v>0</v>
      </c>
      <c r="S486" s="658"/>
    </row>
    <row r="487" spans="1:19" s="34" customFormat="1" ht="15" customHeight="1">
      <c r="A487" s="677"/>
      <c r="B487" s="107"/>
      <c r="C487" s="668"/>
      <c r="D487" s="669"/>
      <c r="E487" s="669"/>
      <c r="F487" s="669"/>
      <c r="G487" s="669"/>
      <c r="H487" s="669"/>
      <c r="I487" s="669"/>
      <c r="J487" s="670"/>
      <c r="K487" s="680"/>
      <c r="L487" s="661"/>
      <c r="M487" s="312" t="s">
        <v>300</v>
      </c>
      <c r="N487" s="343">
        <f t="shared" si="32"/>
        <v>276941744</v>
      </c>
      <c r="O487" s="341">
        <f t="shared" si="32"/>
        <v>170661887</v>
      </c>
      <c r="P487" s="341">
        <f t="shared" si="32"/>
        <v>104298731</v>
      </c>
      <c r="Q487" s="341">
        <f t="shared" si="32"/>
        <v>37540560</v>
      </c>
      <c r="R487" s="342">
        <f t="shared" si="32"/>
        <v>2348500</v>
      </c>
      <c r="S487" s="658"/>
    </row>
    <row r="488" spans="1:19" s="34" customFormat="1" ht="25.5">
      <c r="A488" s="677"/>
      <c r="B488" s="107"/>
      <c r="C488" s="668"/>
      <c r="D488" s="669"/>
      <c r="E488" s="669"/>
      <c r="F488" s="669"/>
      <c r="G488" s="669"/>
      <c r="H488" s="669"/>
      <c r="I488" s="669"/>
      <c r="J488" s="670"/>
      <c r="K488" s="680"/>
      <c r="L488" s="661"/>
      <c r="M488" s="312" t="s">
        <v>323</v>
      </c>
      <c r="N488" s="344">
        <f>N477</f>
        <v>418711</v>
      </c>
      <c r="O488" s="341">
        <f>O477</f>
        <v>416394</v>
      </c>
      <c r="P488" s="341">
        <f>P477</f>
        <v>0</v>
      </c>
      <c r="Q488" s="341">
        <f>Q477</f>
        <v>0</v>
      </c>
      <c r="R488" s="340">
        <f>R477</f>
        <v>0</v>
      </c>
      <c r="S488" s="658"/>
    </row>
    <row r="489" spans="1:19" s="34" customFormat="1" ht="25.5">
      <c r="A489" s="677"/>
      <c r="B489" s="107"/>
      <c r="C489" s="668"/>
      <c r="D489" s="669"/>
      <c r="E489" s="669"/>
      <c r="F489" s="669"/>
      <c r="G489" s="669"/>
      <c r="H489" s="669"/>
      <c r="I489" s="669"/>
      <c r="J489" s="670"/>
      <c r="K489" s="680"/>
      <c r="L489" s="661"/>
      <c r="M489" s="312" t="s">
        <v>446</v>
      </c>
      <c r="N489" s="345">
        <f>N478+N483</f>
        <v>1544110</v>
      </c>
      <c r="O489" s="346">
        <f>O478+O483</f>
        <v>84768</v>
      </c>
      <c r="P489" s="346">
        <f>P478+P483</f>
        <v>69287</v>
      </c>
      <c r="Q489" s="346">
        <f>Q478+Q483</f>
        <v>0</v>
      </c>
      <c r="R489" s="347">
        <f>R478+R483</f>
        <v>0</v>
      </c>
      <c r="S489" s="658"/>
    </row>
    <row r="490" spans="1:19" s="36" customFormat="1" ht="21.75" customHeight="1" thickBot="1">
      <c r="A490" s="678"/>
      <c r="B490" s="107"/>
      <c r="C490" s="671"/>
      <c r="D490" s="672"/>
      <c r="E490" s="672"/>
      <c r="F490" s="672"/>
      <c r="G490" s="672"/>
      <c r="H490" s="672"/>
      <c r="I490" s="672"/>
      <c r="J490" s="673"/>
      <c r="K490" s="681"/>
      <c r="L490" s="664"/>
      <c r="M490" s="324" t="s">
        <v>301</v>
      </c>
      <c r="N490" s="307">
        <f>SUM(N485:N489)</f>
        <v>503951234</v>
      </c>
      <c r="O490" s="308">
        <f>SUM(O485:O489)</f>
        <v>367280831</v>
      </c>
      <c r="P490" s="308">
        <f>SUM(P485:P489)</f>
        <v>285043122</v>
      </c>
      <c r="Q490" s="308">
        <f>SUM(Q485:Q489)</f>
        <v>191200000</v>
      </c>
      <c r="R490" s="309">
        <f>SUM(R485:R489)</f>
        <v>103348500</v>
      </c>
      <c r="S490" s="659"/>
    </row>
    <row r="491" spans="2:19" s="32" customFormat="1" ht="15" customHeight="1">
      <c r="B491" s="37"/>
      <c r="I491" s="474"/>
      <c r="K491" s="208"/>
      <c r="N491" s="102" t="b">
        <f>N473+N463+N432+N402+N312+N105+N95+N67=N490</f>
        <v>1</v>
      </c>
      <c r="O491" s="102" t="b">
        <f>O473+O463+O432+O402+O312+O105+O95+O67=O490</f>
        <v>1</v>
      </c>
      <c r="P491" s="102" t="b">
        <f>P473+P463+P432+P402+P312+P105+P95+P67=P490</f>
        <v>1</v>
      </c>
      <c r="Q491" s="102" t="b">
        <f>Q473+Q463+Q432+Q402+Q312+Q105+Q95+Q67=Q490</f>
        <v>1</v>
      </c>
      <c r="R491" s="102" t="b">
        <f>R473+R463+R432+R402+R312+R105+R95+R67=R490</f>
        <v>1</v>
      </c>
      <c r="S491" s="38"/>
    </row>
    <row r="492" spans="13:19" ht="15" customHeight="1">
      <c r="M492" s="446" t="s">
        <v>233</v>
      </c>
      <c r="N492" s="483">
        <f>N490-N488-N489</f>
        <v>501988413</v>
      </c>
      <c r="O492" s="483">
        <f>O490-O488-O489</f>
        <v>366779669</v>
      </c>
      <c r="P492" s="483">
        <f>P490-P488-P489</f>
        <v>284973835</v>
      </c>
      <c r="Q492" s="483">
        <f>Q490-Q488-Q489</f>
        <v>191200000</v>
      </c>
      <c r="R492" s="483">
        <f>R490-R488-R489</f>
        <v>103348500</v>
      </c>
      <c r="S492" s="40"/>
    </row>
    <row r="493" spans="14:19" ht="15" customHeight="1">
      <c r="N493" s="483"/>
      <c r="O493" s="483"/>
      <c r="P493" s="483"/>
      <c r="Q493" s="483"/>
      <c r="R493" s="483"/>
      <c r="S493" s="40"/>
    </row>
    <row r="494" spans="14:19" ht="15" customHeight="1">
      <c r="N494" s="483">
        <f>N15+N20+N25+N30+N35+N40+N45+N50+N55</f>
        <v>358726943</v>
      </c>
      <c r="O494" s="483">
        <f>O15+O20+O25+O30+O35+O40+O45+O50+O55</f>
        <v>268179695</v>
      </c>
      <c r="P494" s="483">
        <f>P15+P20+P25+P30+P35+P40+P45+P50+P55</f>
        <v>179171680</v>
      </c>
      <c r="Q494" s="483">
        <f>Q15+Q20+Q25+Q30+Q35+Q40+Q45+Q50+Q55</f>
        <v>32900000</v>
      </c>
      <c r="R494" s="483">
        <f>R15+R20+R25+R30+R35+R40+R45+R50+R55</f>
        <v>0</v>
      </c>
      <c r="S494" s="40"/>
    </row>
    <row r="495" spans="14:19" ht="15" customHeight="1">
      <c r="N495" s="483">
        <f>N73+N78+N83</f>
        <v>32248637</v>
      </c>
      <c r="O495" s="483">
        <f>O73+O78+O83</f>
        <v>11646402</v>
      </c>
      <c r="P495" s="483">
        <f>P73+P78+P83</f>
        <v>0</v>
      </c>
      <c r="Q495" s="483">
        <f>Q73+Q78+Q83</f>
        <v>0</v>
      </c>
      <c r="R495" s="483">
        <f>R73+R78+R83</f>
        <v>0</v>
      </c>
      <c r="S495" s="40"/>
    </row>
    <row r="496" spans="14:19" ht="15" customHeight="1">
      <c r="N496" s="483">
        <f>N101</f>
        <v>164200</v>
      </c>
      <c r="O496" s="483">
        <f>O101</f>
        <v>22500</v>
      </c>
      <c r="P496" s="483">
        <f>P101</f>
        <v>0</v>
      </c>
      <c r="Q496" s="483">
        <f>Q101</f>
        <v>0</v>
      </c>
      <c r="R496" s="483">
        <f>R101</f>
        <v>0</v>
      </c>
      <c r="S496" s="40"/>
    </row>
    <row r="497" spans="14:19" ht="15" customHeight="1">
      <c r="N497" s="483">
        <f>N111+N116+N122+N127+N132+N145+N150+N163+N176+N181+N186+N191+N196+N201+N206+N211+N216+N221+N226+N231+N236+N241+N246+N251+N256+N261+N266+N271+N276+N281+N286+N291+N296</f>
        <v>16221303</v>
      </c>
      <c r="O497" s="483">
        <f>O111+O116+O122+O127+O132+O145+O150+O163+O176+O181+O186+O191+O196+O201+O206+O211+O216+O221+O226+O231+O236+O241+O246+O251+O256+O261+O266+O271+O276+O281+O286+O291+O296</f>
        <v>5741933</v>
      </c>
      <c r="P497" s="483">
        <f>P111+P116+P122+P127+P132+P145+P150+P163+P176+P181+P186+P191+P196+P201+P206+P211+P216+P221+P226+P231+P236+P241+P246+P251+P256+P261+P266+P271+P276+P281+P286+P291+P296</f>
        <v>811387</v>
      </c>
      <c r="Q497" s="483">
        <f>Q111+Q116+Q122+Q127+Q132+Q145+Q150+Q163+Q176+Q181+Q186+Q191+Q196+Q201+Q206+Q211+Q216+Q221+Q226+Q231+Q236+Q241+Q246+Q251+Q256+Q261+Q266+Q271+Q276+Q281+Q286+Q291+Q296</f>
        <v>0</v>
      </c>
      <c r="R497" s="483">
        <f>R111+R116+R122+R127+R132+R145+R150+R163+R176+R181+R186+R191+R196+R201+R206+R211+R216+R221+R226+R231+R236+R241+R246+R251+R256+R261+R266+R271+R276+R281+R286+R291+R296</f>
        <v>0</v>
      </c>
      <c r="S497" s="40"/>
    </row>
    <row r="498" spans="14:19" ht="15" customHeight="1">
      <c r="N498" s="483">
        <f>N318+N324+N329+N334+N339+N352+N375+N362+N388+N357</f>
        <v>34604095</v>
      </c>
      <c r="O498" s="483">
        <f>O318+O324+O329+O334+O339+O352+O375+O362+O388+O357</f>
        <v>3441621</v>
      </c>
      <c r="P498" s="483">
        <f>P318+P324+P329+P334+P339+P352+P375+P362+P388+P357</f>
        <v>318562</v>
      </c>
      <c r="Q498" s="483">
        <f>Q318+Q324+Q329+Q334+Q339+Q352+Q375+Q362+Q388+Q357</f>
        <v>0</v>
      </c>
      <c r="R498" s="483">
        <f>R318+R324+R329+R334+R339+R352+R375+R362+R388+R357</f>
        <v>0</v>
      </c>
      <c r="S498" s="40"/>
    </row>
    <row r="499" spans="14:19" ht="15" customHeight="1">
      <c r="N499" s="483">
        <f>N413+N418+N408</f>
        <v>16565149</v>
      </c>
      <c r="O499" s="483">
        <f>O413+O418+O408</f>
        <v>31619015</v>
      </c>
      <c r="P499" s="483">
        <f>P413+P418+P408</f>
        <v>104700000</v>
      </c>
      <c r="Q499" s="483">
        <f>Q413+Q418+Q408</f>
        <v>158300000</v>
      </c>
      <c r="R499" s="483">
        <f>R413+R418+R408</f>
        <v>103348500</v>
      </c>
      <c r="S499" s="40"/>
    </row>
    <row r="500" spans="14:19" ht="15" customHeight="1">
      <c r="N500" s="483">
        <f>N446+N451</f>
        <v>44820907</v>
      </c>
      <c r="O500" s="483">
        <f>O446+O451</f>
        <v>46549665</v>
      </c>
      <c r="P500" s="483">
        <f>P446+P451</f>
        <v>41493</v>
      </c>
      <c r="Q500" s="483">
        <f>Q446+Q451</f>
        <v>0</v>
      </c>
      <c r="R500" s="483">
        <f>R446+R451</f>
        <v>0</v>
      </c>
      <c r="S500" s="40"/>
    </row>
    <row r="501" spans="14:19" ht="15" customHeight="1">
      <c r="N501" s="483">
        <f>N469</f>
        <v>600000</v>
      </c>
      <c r="O501" s="483">
        <f>O469</f>
        <v>80000</v>
      </c>
      <c r="P501" s="483">
        <f>P469</f>
        <v>0</v>
      </c>
      <c r="Q501" s="483">
        <f>Q469</f>
        <v>0</v>
      </c>
      <c r="R501" s="483">
        <f>R469</f>
        <v>0</v>
      </c>
      <c r="S501" s="40"/>
    </row>
    <row r="502" spans="14:19" ht="15" customHeight="1">
      <c r="N502" s="103">
        <f>SUM(N494:N501)</f>
        <v>503951234</v>
      </c>
      <c r="O502" s="103">
        <f>SUM(O494:O501)</f>
        <v>367280831</v>
      </c>
      <c r="P502" s="103">
        <f>SUM(P494:P501)</f>
        <v>285043122</v>
      </c>
      <c r="Q502" s="103">
        <f>SUM(Q494:Q501)</f>
        <v>191200000</v>
      </c>
      <c r="R502" s="103">
        <f>SUM(R494:R501)</f>
        <v>103348500</v>
      </c>
      <c r="S502" s="40"/>
    </row>
    <row r="503" spans="14:19" ht="15" customHeight="1">
      <c r="N503" s="483" t="b">
        <f>N502=N490</f>
        <v>1</v>
      </c>
      <c r="O503" s="483" t="b">
        <f>O502=O490</f>
        <v>1</v>
      </c>
      <c r="P503" s="483" t="b">
        <f>P502=P490</f>
        <v>1</v>
      </c>
      <c r="Q503" s="483" t="b">
        <f>Q502=Q490</f>
        <v>1</v>
      </c>
      <c r="R503" s="483" t="b">
        <f>R502=R490</f>
        <v>1</v>
      </c>
      <c r="S503" s="40"/>
    </row>
    <row r="504" spans="14:19" ht="15" customHeight="1">
      <c r="N504" s="483"/>
      <c r="O504" s="483"/>
      <c r="P504" s="483"/>
      <c r="Q504" s="483"/>
      <c r="R504" s="483"/>
      <c r="S504" s="40"/>
    </row>
    <row r="505" spans="14:19" ht="15" customHeight="1">
      <c r="N505" s="483"/>
      <c r="O505" s="483"/>
      <c r="P505" s="483"/>
      <c r="Q505" s="483"/>
      <c r="R505" s="483"/>
      <c r="S505" s="40"/>
    </row>
    <row r="506" spans="14:19" ht="15" customHeight="1">
      <c r="N506" s="483"/>
      <c r="O506" s="483"/>
      <c r="P506" s="483"/>
      <c r="Q506" s="483"/>
      <c r="R506" s="483"/>
      <c r="S506" s="40"/>
    </row>
    <row r="507" spans="14:19" ht="15" customHeight="1">
      <c r="N507" s="483">
        <f>'[2]po auto'!$J$692</f>
        <v>501988413</v>
      </c>
      <c r="O507" s="483"/>
      <c r="P507" s="483"/>
      <c r="Q507" s="483"/>
      <c r="R507" s="483"/>
      <c r="S507" s="40"/>
    </row>
    <row r="508" spans="14:19" ht="15" customHeight="1">
      <c r="N508" s="483">
        <f>N492-N507</f>
        <v>0</v>
      </c>
      <c r="O508" s="483"/>
      <c r="P508" s="483"/>
      <c r="Q508" s="483"/>
      <c r="R508" s="483"/>
      <c r="S508" s="40"/>
    </row>
    <row r="509" spans="14:19" ht="15" customHeight="1">
      <c r="N509" s="483"/>
      <c r="O509" s="483"/>
      <c r="P509" s="483"/>
      <c r="Q509" s="483"/>
      <c r="R509" s="483"/>
      <c r="S509" s="40"/>
    </row>
    <row r="510" spans="14:19" ht="15" customHeight="1">
      <c r="N510" s="483">
        <f>'[2]po auto'!$L$693</f>
        <v>463345398</v>
      </c>
      <c r="O510" s="483"/>
      <c r="P510" s="483"/>
      <c r="Q510" s="483"/>
      <c r="R510" s="483"/>
      <c r="S510" s="40"/>
    </row>
    <row r="511" spans="14:19" ht="15" customHeight="1">
      <c r="N511" s="483">
        <f>N484-N510-N483</f>
        <v>0</v>
      </c>
      <c r="O511" s="483"/>
      <c r="P511" s="483"/>
      <c r="Q511" s="483"/>
      <c r="R511" s="483"/>
      <c r="S511" s="40"/>
    </row>
    <row r="512" spans="14:19" ht="15" customHeight="1">
      <c r="N512" s="483"/>
      <c r="O512" s="483"/>
      <c r="P512" s="483"/>
      <c r="Q512" s="483"/>
      <c r="R512" s="483"/>
      <c r="S512" s="40"/>
    </row>
    <row r="513" spans="14:19" ht="15" customHeight="1">
      <c r="N513" s="483"/>
      <c r="O513" s="483"/>
      <c r="P513" s="483"/>
      <c r="Q513" s="483"/>
      <c r="R513" s="483"/>
      <c r="S513" s="40"/>
    </row>
    <row r="514" spans="14:19" ht="15" customHeight="1">
      <c r="N514" s="483"/>
      <c r="O514" s="483"/>
      <c r="P514" s="483"/>
      <c r="Q514" s="483"/>
      <c r="R514" s="483"/>
      <c r="S514" s="40"/>
    </row>
    <row r="515" spans="14:19" ht="15" customHeight="1">
      <c r="N515" s="483"/>
      <c r="O515" s="483"/>
      <c r="P515" s="483"/>
      <c r="Q515" s="483"/>
      <c r="R515" s="483"/>
      <c r="S515" s="40"/>
    </row>
    <row r="516" spans="14:19" ht="15" customHeight="1">
      <c r="N516" s="483"/>
      <c r="O516" s="483"/>
      <c r="P516" s="483"/>
      <c r="Q516" s="483"/>
      <c r="R516" s="483"/>
      <c r="S516" s="40"/>
    </row>
    <row r="517" spans="14:19" ht="15" customHeight="1">
      <c r="N517" s="483"/>
      <c r="O517" s="483"/>
      <c r="P517" s="483"/>
      <c r="Q517" s="483"/>
      <c r="R517" s="483"/>
      <c r="S517" s="40"/>
    </row>
    <row r="518" spans="14:19" ht="15" customHeight="1">
      <c r="N518" s="483"/>
      <c r="O518" s="483"/>
      <c r="P518" s="483"/>
      <c r="Q518" s="483"/>
      <c r="R518" s="483"/>
      <c r="S518" s="40"/>
    </row>
    <row r="519" spans="14:19" ht="15" customHeight="1">
      <c r="N519" s="483"/>
      <c r="O519" s="483"/>
      <c r="P519" s="483"/>
      <c r="Q519" s="483"/>
      <c r="R519" s="483"/>
      <c r="S519" s="40"/>
    </row>
    <row r="520" spans="14:19" ht="15" customHeight="1">
      <c r="N520" s="483"/>
      <c r="O520" s="483"/>
      <c r="P520" s="483"/>
      <c r="Q520" s="483"/>
      <c r="R520" s="483"/>
      <c r="S520" s="40"/>
    </row>
    <row r="521" spans="14:19" ht="15" customHeight="1">
      <c r="N521" s="483"/>
      <c r="O521" s="483"/>
      <c r="P521" s="483"/>
      <c r="Q521" s="483"/>
      <c r="R521" s="483"/>
      <c r="S521" s="40"/>
    </row>
    <row r="522" spans="14:19" ht="15" customHeight="1">
      <c r="N522" s="483"/>
      <c r="O522" s="483"/>
      <c r="P522" s="483"/>
      <c r="Q522" s="483"/>
      <c r="R522" s="483"/>
      <c r="S522" s="40"/>
    </row>
    <row r="523" spans="14:19" ht="15" customHeight="1">
      <c r="N523" s="483"/>
      <c r="O523" s="483"/>
      <c r="P523" s="483"/>
      <c r="Q523" s="483"/>
      <c r="R523" s="483"/>
      <c r="S523" s="40"/>
    </row>
    <row r="524" spans="14:19" ht="15" customHeight="1">
      <c r="N524" s="483"/>
      <c r="O524" s="483"/>
      <c r="P524" s="483"/>
      <c r="Q524" s="483"/>
      <c r="R524" s="483"/>
      <c r="S524" s="40"/>
    </row>
    <row r="525" spans="14:19" ht="15" customHeight="1">
      <c r="N525" s="483"/>
      <c r="O525" s="483"/>
      <c r="P525" s="483"/>
      <c r="Q525" s="483"/>
      <c r="R525" s="483"/>
      <c r="S525" s="40"/>
    </row>
    <row r="526" spans="14:19" ht="15" customHeight="1">
      <c r="N526" s="483"/>
      <c r="O526" s="483"/>
      <c r="P526" s="483"/>
      <c r="Q526" s="483"/>
      <c r="R526" s="483"/>
      <c r="S526" s="40"/>
    </row>
    <row r="527" spans="14:19" ht="15" customHeight="1">
      <c r="N527" s="483"/>
      <c r="O527" s="483"/>
      <c r="P527" s="483"/>
      <c r="Q527" s="483"/>
      <c r="R527" s="483"/>
      <c r="S527" s="40"/>
    </row>
    <row r="528" spans="14:19" ht="15" customHeight="1">
      <c r="N528" s="483"/>
      <c r="O528" s="483"/>
      <c r="P528" s="483"/>
      <c r="Q528" s="483"/>
      <c r="R528" s="483"/>
      <c r="S528" s="40"/>
    </row>
    <row r="529" spans="14:19" ht="15" customHeight="1">
      <c r="N529" s="483"/>
      <c r="O529" s="483"/>
      <c r="P529" s="483"/>
      <c r="Q529" s="483"/>
      <c r="R529" s="483"/>
      <c r="S529" s="40"/>
    </row>
    <row r="530" spans="14:19" ht="15" customHeight="1">
      <c r="N530" s="483"/>
      <c r="O530" s="483"/>
      <c r="P530" s="483"/>
      <c r="Q530" s="483"/>
      <c r="R530" s="483"/>
      <c r="S530" s="40"/>
    </row>
    <row r="531" spans="14:19" ht="15" customHeight="1">
      <c r="N531" s="483"/>
      <c r="O531" s="483"/>
      <c r="P531" s="483"/>
      <c r="Q531" s="483"/>
      <c r="R531" s="483"/>
      <c r="S531" s="40"/>
    </row>
    <row r="532" spans="14:19" ht="15" customHeight="1">
      <c r="N532" s="483"/>
      <c r="O532" s="483"/>
      <c r="P532" s="483"/>
      <c r="Q532" s="483"/>
      <c r="R532" s="483"/>
      <c r="S532" s="40"/>
    </row>
    <row r="533" spans="14:19" ht="15" customHeight="1">
      <c r="N533" s="483"/>
      <c r="O533" s="483"/>
      <c r="P533" s="483"/>
      <c r="Q533" s="483"/>
      <c r="R533" s="483"/>
      <c r="S533" s="40"/>
    </row>
    <row r="534" spans="14:19" ht="15" customHeight="1">
      <c r="N534" s="483"/>
      <c r="O534" s="483"/>
      <c r="P534" s="483"/>
      <c r="Q534" s="483"/>
      <c r="R534" s="483"/>
      <c r="S534" s="40"/>
    </row>
    <row r="535" spans="14:19" ht="15" customHeight="1">
      <c r="N535" s="483"/>
      <c r="O535" s="483"/>
      <c r="P535" s="483"/>
      <c r="Q535" s="483"/>
      <c r="R535" s="483"/>
      <c r="S535" s="40"/>
    </row>
    <row r="536" spans="14:19" ht="15" customHeight="1">
      <c r="N536" s="483"/>
      <c r="O536" s="483"/>
      <c r="P536" s="483"/>
      <c r="Q536" s="483"/>
      <c r="R536" s="483"/>
      <c r="S536" s="40"/>
    </row>
    <row r="537" spans="14:19" ht="15" customHeight="1">
      <c r="N537" s="483"/>
      <c r="O537" s="483"/>
      <c r="P537" s="483"/>
      <c r="Q537" s="483"/>
      <c r="R537" s="483"/>
      <c r="S537" s="40"/>
    </row>
    <row r="538" spans="14:19" ht="15" customHeight="1">
      <c r="N538" s="483"/>
      <c r="O538" s="483"/>
      <c r="P538" s="483"/>
      <c r="Q538" s="483"/>
      <c r="R538" s="483"/>
      <c r="S538" s="40"/>
    </row>
    <row r="539" spans="14:19" ht="15" customHeight="1">
      <c r="N539" s="483"/>
      <c r="O539" s="483"/>
      <c r="P539" s="483"/>
      <c r="Q539" s="483"/>
      <c r="R539" s="483"/>
      <c r="S539" s="40"/>
    </row>
    <row r="540" spans="14:19" ht="15" customHeight="1">
      <c r="N540" s="483"/>
      <c r="O540" s="483"/>
      <c r="P540" s="483"/>
      <c r="Q540" s="483"/>
      <c r="R540" s="483"/>
      <c r="S540" s="40"/>
    </row>
    <row r="541" spans="14:19" ht="15" customHeight="1">
      <c r="N541" s="483"/>
      <c r="O541" s="483"/>
      <c r="P541" s="483"/>
      <c r="Q541" s="483"/>
      <c r="R541" s="483"/>
      <c r="S541" s="40"/>
    </row>
    <row r="542" spans="14:19" ht="15" customHeight="1">
      <c r="N542" s="483"/>
      <c r="O542" s="483"/>
      <c r="P542" s="483"/>
      <c r="Q542" s="483"/>
      <c r="R542" s="483"/>
      <c r="S542" s="40"/>
    </row>
    <row r="543" spans="14:19" ht="15" customHeight="1">
      <c r="N543" s="483"/>
      <c r="O543" s="483"/>
      <c r="P543" s="483"/>
      <c r="Q543" s="483"/>
      <c r="R543" s="483"/>
      <c r="S543" s="40"/>
    </row>
    <row r="544" spans="14:19" ht="15" customHeight="1">
      <c r="N544" s="483"/>
      <c r="O544" s="483"/>
      <c r="P544" s="483"/>
      <c r="Q544" s="483"/>
      <c r="R544" s="483"/>
      <c r="S544" s="40"/>
    </row>
    <row r="545" spans="14:19" ht="15" customHeight="1">
      <c r="N545" s="483"/>
      <c r="O545" s="483"/>
      <c r="P545" s="483"/>
      <c r="Q545" s="483"/>
      <c r="R545" s="483"/>
      <c r="S545" s="40"/>
    </row>
    <row r="546" spans="14:19" ht="15" customHeight="1">
      <c r="N546" s="483"/>
      <c r="O546" s="483"/>
      <c r="P546" s="483"/>
      <c r="Q546" s="483"/>
      <c r="R546" s="483"/>
      <c r="S546" s="40"/>
    </row>
    <row r="547" spans="14:19" ht="15" customHeight="1">
      <c r="N547" s="483"/>
      <c r="O547" s="483"/>
      <c r="P547" s="483"/>
      <c r="Q547" s="483"/>
      <c r="R547" s="483"/>
      <c r="S547" s="40"/>
    </row>
    <row r="548" spans="14:19" ht="15" customHeight="1">
      <c r="N548" s="483"/>
      <c r="O548" s="483"/>
      <c r="P548" s="483"/>
      <c r="Q548" s="483"/>
      <c r="R548" s="483"/>
      <c r="S548" s="40"/>
    </row>
    <row r="549" spans="14:19" ht="15" customHeight="1">
      <c r="N549" s="483"/>
      <c r="O549" s="483"/>
      <c r="P549" s="483"/>
      <c r="Q549" s="483"/>
      <c r="R549" s="483"/>
      <c r="S549" s="40"/>
    </row>
    <row r="550" spans="14:19" ht="15" customHeight="1">
      <c r="N550" s="483"/>
      <c r="O550" s="483"/>
      <c r="P550" s="483"/>
      <c r="Q550" s="483"/>
      <c r="R550" s="483"/>
      <c r="S550" s="40"/>
    </row>
    <row r="551" spans="14:19" ht="15" customHeight="1">
      <c r="N551" s="483"/>
      <c r="O551" s="483"/>
      <c r="P551" s="483"/>
      <c r="Q551" s="483"/>
      <c r="R551" s="483"/>
      <c r="S551" s="40"/>
    </row>
    <row r="552" spans="14:19" ht="15" customHeight="1">
      <c r="N552" s="483"/>
      <c r="O552" s="483"/>
      <c r="P552" s="483"/>
      <c r="Q552" s="483"/>
      <c r="R552" s="483"/>
      <c r="S552" s="40"/>
    </row>
    <row r="553" spans="14:19" ht="15" customHeight="1">
      <c r="N553" s="483"/>
      <c r="O553" s="483"/>
      <c r="P553" s="483"/>
      <c r="Q553" s="483"/>
      <c r="R553" s="483"/>
      <c r="S553" s="40"/>
    </row>
    <row r="554" spans="14:19" ht="15" customHeight="1">
      <c r="N554" s="483"/>
      <c r="O554" s="483"/>
      <c r="P554" s="483"/>
      <c r="Q554" s="483"/>
      <c r="R554" s="483"/>
      <c r="S554" s="40"/>
    </row>
    <row r="555" spans="14:19" ht="15" customHeight="1">
      <c r="N555" s="483"/>
      <c r="O555" s="483"/>
      <c r="P555" s="483"/>
      <c r="Q555" s="483"/>
      <c r="R555" s="483"/>
      <c r="S555" s="40"/>
    </row>
    <row r="556" spans="14:19" ht="15" customHeight="1">
      <c r="N556" s="483"/>
      <c r="O556" s="483"/>
      <c r="P556" s="483"/>
      <c r="Q556" s="483"/>
      <c r="R556" s="483"/>
      <c r="S556" s="40"/>
    </row>
    <row r="557" spans="14:19" ht="15" customHeight="1">
      <c r="N557" s="483"/>
      <c r="O557" s="483"/>
      <c r="P557" s="483"/>
      <c r="Q557" s="483"/>
      <c r="R557" s="483"/>
      <c r="S557" s="40"/>
    </row>
    <row r="558" spans="14:19" ht="15" customHeight="1">
      <c r="N558" s="483"/>
      <c r="O558" s="483"/>
      <c r="P558" s="483"/>
      <c r="Q558" s="483"/>
      <c r="R558" s="483"/>
      <c r="S558" s="40"/>
    </row>
    <row r="559" spans="14:19" ht="15" customHeight="1">
      <c r="N559" s="483"/>
      <c r="O559" s="483"/>
      <c r="P559" s="483"/>
      <c r="Q559" s="483"/>
      <c r="R559" s="483"/>
      <c r="S559" s="40"/>
    </row>
    <row r="560" spans="14:19" ht="15" customHeight="1">
      <c r="N560" s="483"/>
      <c r="O560" s="483"/>
      <c r="P560" s="483"/>
      <c r="Q560" s="483"/>
      <c r="R560" s="483"/>
      <c r="S560" s="40"/>
    </row>
    <row r="561" spans="14:19" ht="15" customHeight="1">
      <c r="N561" s="483"/>
      <c r="O561" s="483"/>
      <c r="P561" s="483"/>
      <c r="Q561" s="483"/>
      <c r="R561" s="483"/>
      <c r="S561" s="40"/>
    </row>
    <row r="562" spans="14:19" ht="15" customHeight="1">
      <c r="N562" s="483"/>
      <c r="O562" s="483"/>
      <c r="P562" s="483"/>
      <c r="Q562" s="483"/>
      <c r="R562" s="483"/>
      <c r="S562" s="40"/>
    </row>
    <row r="563" spans="14:19" ht="15" customHeight="1">
      <c r="N563" s="483"/>
      <c r="O563" s="483"/>
      <c r="P563" s="483"/>
      <c r="Q563" s="483"/>
      <c r="R563" s="483"/>
      <c r="S563" s="40"/>
    </row>
    <row r="564" spans="14:19" ht="15" customHeight="1">
      <c r="N564" s="483"/>
      <c r="O564" s="483"/>
      <c r="P564" s="483"/>
      <c r="Q564" s="483"/>
      <c r="R564" s="483"/>
      <c r="S564" s="40"/>
    </row>
    <row r="565" spans="14:19" ht="15" customHeight="1">
      <c r="N565" s="483"/>
      <c r="O565" s="483"/>
      <c r="P565" s="483"/>
      <c r="Q565" s="483"/>
      <c r="R565" s="483"/>
      <c r="S565" s="40"/>
    </row>
    <row r="566" spans="14:19" ht="15" customHeight="1">
      <c r="N566" s="483"/>
      <c r="O566" s="483"/>
      <c r="P566" s="483"/>
      <c r="Q566" s="483"/>
      <c r="R566" s="483"/>
      <c r="S566" s="40"/>
    </row>
    <row r="567" spans="14:19" ht="15" customHeight="1">
      <c r="N567" s="483"/>
      <c r="O567" s="483"/>
      <c r="P567" s="483"/>
      <c r="Q567" s="483"/>
      <c r="R567" s="483"/>
      <c r="S567" s="40"/>
    </row>
    <row r="568" spans="14:19" ht="15" customHeight="1">
      <c r="N568" s="483"/>
      <c r="O568" s="483"/>
      <c r="P568" s="483"/>
      <c r="Q568" s="483"/>
      <c r="R568" s="483"/>
      <c r="S568" s="40"/>
    </row>
    <row r="569" spans="14:19" ht="15" customHeight="1">
      <c r="N569" s="483"/>
      <c r="O569" s="483"/>
      <c r="P569" s="483"/>
      <c r="Q569" s="483"/>
      <c r="R569" s="483"/>
      <c r="S569" s="40"/>
    </row>
    <row r="570" spans="14:19" ht="15" customHeight="1">
      <c r="N570" s="483"/>
      <c r="O570" s="483"/>
      <c r="P570" s="483"/>
      <c r="Q570" s="483"/>
      <c r="R570" s="483"/>
      <c r="S570" s="40"/>
    </row>
    <row r="571" spans="14:19" ht="15" customHeight="1">
      <c r="N571" s="483"/>
      <c r="O571" s="483"/>
      <c r="P571" s="483"/>
      <c r="Q571" s="483"/>
      <c r="R571" s="483"/>
      <c r="S571" s="40"/>
    </row>
    <row r="572" spans="14:19" ht="15" customHeight="1">
      <c r="N572" s="483"/>
      <c r="O572" s="483"/>
      <c r="P572" s="483"/>
      <c r="Q572" s="483"/>
      <c r="R572" s="483"/>
      <c r="S572" s="40"/>
    </row>
    <row r="573" spans="14:19" ht="15" customHeight="1">
      <c r="N573" s="483"/>
      <c r="O573" s="483"/>
      <c r="P573" s="483"/>
      <c r="Q573" s="483"/>
      <c r="R573" s="483"/>
      <c r="S573" s="40"/>
    </row>
    <row r="574" spans="14:19" ht="15" customHeight="1">
      <c r="N574" s="483"/>
      <c r="O574" s="483"/>
      <c r="P574" s="483"/>
      <c r="Q574" s="483"/>
      <c r="R574" s="483"/>
      <c r="S574" s="40"/>
    </row>
    <row r="575" spans="14:19" ht="15" customHeight="1">
      <c r="N575" s="483"/>
      <c r="O575" s="483"/>
      <c r="P575" s="483"/>
      <c r="Q575" s="483"/>
      <c r="R575" s="483"/>
      <c r="S575" s="40"/>
    </row>
    <row r="576" spans="14:19" ht="15" customHeight="1">
      <c r="N576" s="483"/>
      <c r="O576" s="483"/>
      <c r="P576" s="483"/>
      <c r="Q576" s="483"/>
      <c r="R576" s="483"/>
      <c r="S576" s="40"/>
    </row>
    <row r="577" spans="14:19" ht="15" customHeight="1">
      <c r="N577" s="483"/>
      <c r="O577" s="483"/>
      <c r="P577" s="483"/>
      <c r="Q577" s="483"/>
      <c r="R577" s="483"/>
      <c r="S577" s="40"/>
    </row>
    <row r="578" spans="14:19" ht="15" customHeight="1">
      <c r="N578" s="483"/>
      <c r="O578" s="483"/>
      <c r="P578" s="483"/>
      <c r="Q578" s="483"/>
      <c r="R578" s="483"/>
      <c r="S578" s="40"/>
    </row>
    <row r="579" spans="14:19" ht="15" customHeight="1">
      <c r="N579" s="483"/>
      <c r="O579" s="483"/>
      <c r="P579" s="483"/>
      <c r="Q579" s="483"/>
      <c r="R579" s="483"/>
      <c r="S579" s="40"/>
    </row>
    <row r="580" spans="14:19" ht="15" customHeight="1">
      <c r="N580" s="483"/>
      <c r="O580" s="483"/>
      <c r="P580" s="483"/>
      <c r="Q580" s="483"/>
      <c r="R580" s="483"/>
      <c r="S580" s="40"/>
    </row>
    <row r="581" spans="14:19" ht="15" customHeight="1">
      <c r="N581" s="483"/>
      <c r="O581" s="483"/>
      <c r="P581" s="483"/>
      <c r="Q581" s="483"/>
      <c r="R581" s="483"/>
      <c r="S581" s="40"/>
    </row>
    <row r="582" spans="14:19" ht="15" customHeight="1">
      <c r="N582" s="483"/>
      <c r="O582" s="483"/>
      <c r="P582" s="483"/>
      <c r="Q582" s="483"/>
      <c r="R582" s="483"/>
      <c r="S582" s="40"/>
    </row>
    <row r="583" spans="14:19" ht="15" customHeight="1">
      <c r="N583" s="483"/>
      <c r="O583" s="483"/>
      <c r="P583" s="483"/>
      <c r="Q583" s="483"/>
      <c r="R583" s="483"/>
      <c r="S583" s="40"/>
    </row>
    <row r="584" spans="14:19" ht="15" customHeight="1">
      <c r="N584" s="483"/>
      <c r="O584" s="483"/>
      <c r="P584" s="483"/>
      <c r="Q584" s="483"/>
      <c r="R584" s="483"/>
      <c r="S584" s="40"/>
    </row>
    <row r="585" spans="14:19" ht="15" customHeight="1">
      <c r="N585" s="483"/>
      <c r="O585" s="483"/>
      <c r="P585" s="483"/>
      <c r="Q585" s="483"/>
      <c r="R585" s="483"/>
      <c r="S585" s="40"/>
    </row>
    <row r="586" spans="14:19" ht="15" customHeight="1">
      <c r="N586" s="483"/>
      <c r="O586" s="483"/>
      <c r="P586" s="483"/>
      <c r="Q586" s="483"/>
      <c r="R586" s="483"/>
      <c r="S586" s="40"/>
    </row>
    <row r="587" spans="14:19" ht="15" customHeight="1">
      <c r="N587" s="483"/>
      <c r="O587" s="483"/>
      <c r="P587" s="483"/>
      <c r="Q587" s="483"/>
      <c r="R587" s="483"/>
      <c r="S587" s="40"/>
    </row>
    <row r="588" spans="14:19" ht="15" customHeight="1">
      <c r="N588" s="483"/>
      <c r="O588" s="483"/>
      <c r="P588" s="483"/>
      <c r="Q588" s="483"/>
      <c r="R588" s="483"/>
      <c r="S588" s="40"/>
    </row>
    <row r="589" spans="14:19" ht="15" customHeight="1">
      <c r="N589" s="483"/>
      <c r="O589" s="483"/>
      <c r="P589" s="483"/>
      <c r="Q589" s="483"/>
      <c r="R589" s="483"/>
      <c r="S589" s="40"/>
    </row>
    <row r="590" spans="14:19" ht="15" customHeight="1">
      <c r="N590" s="483"/>
      <c r="O590" s="483"/>
      <c r="P590" s="483"/>
      <c r="Q590" s="483"/>
      <c r="R590" s="483"/>
      <c r="S590" s="40"/>
    </row>
    <row r="591" spans="14:19" ht="15" customHeight="1">
      <c r="N591" s="483"/>
      <c r="O591" s="483"/>
      <c r="P591" s="483"/>
      <c r="Q591" s="483"/>
      <c r="R591" s="483"/>
      <c r="S591" s="40"/>
    </row>
    <row r="592" spans="14:19" ht="15" customHeight="1">
      <c r="N592" s="483"/>
      <c r="O592" s="483"/>
      <c r="P592" s="483"/>
      <c r="Q592" s="483"/>
      <c r="R592" s="483"/>
      <c r="S592" s="40"/>
    </row>
    <row r="593" spans="14:19" ht="15" customHeight="1">
      <c r="N593" s="483"/>
      <c r="O593" s="483"/>
      <c r="P593" s="483"/>
      <c r="Q593" s="483"/>
      <c r="R593" s="483"/>
      <c r="S593" s="40"/>
    </row>
    <row r="594" spans="14:19" ht="15" customHeight="1">
      <c r="N594" s="483"/>
      <c r="O594" s="483"/>
      <c r="P594" s="483"/>
      <c r="Q594" s="483"/>
      <c r="R594" s="483"/>
      <c r="S594" s="40"/>
    </row>
    <row r="595" spans="14:19" ht="15" customHeight="1">
      <c r="N595" s="483"/>
      <c r="O595" s="483"/>
      <c r="P595" s="483"/>
      <c r="Q595" s="483"/>
      <c r="R595" s="483"/>
      <c r="S595" s="40"/>
    </row>
    <row r="596" spans="14:19" ht="15" customHeight="1">
      <c r="N596" s="483"/>
      <c r="O596" s="483"/>
      <c r="P596" s="483"/>
      <c r="Q596" s="483"/>
      <c r="R596" s="483"/>
      <c r="S596" s="40"/>
    </row>
    <row r="597" spans="14:19" ht="15" customHeight="1">
      <c r="N597" s="483"/>
      <c r="O597" s="483"/>
      <c r="P597" s="483"/>
      <c r="Q597" s="483"/>
      <c r="R597" s="483"/>
      <c r="S597" s="40"/>
    </row>
    <row r="598" spans="14:19" ht="15" customHeight="1">
      <c r="N598" s="483"/>
      <c r="O598" s="483"/>
      <c r="P598" s="483"/>
      <c r="Q598" s="483"/>
      <c r="R598" s="483"/>
      <c r="S598" s="40"/>
    </row>
    <row r="599" spans="14:19" ht="15" customHeight="1">
      <c r="N599" s="483"/>
      <c r="O599" s="483"/>
      <c r="P599" s="483"/>
      <c r="Q599" s="483"/>
      <c r="R599" s="483"/>
      <c r="S599" s="40"/>
    </row>
    <row r="600" spans="14:19" ht="15" customHeight="1">
      <c r="N600" s="483"/>
      <c r="O600" s="483"/>
      <c r="P600" s="483"/>
      <c r="Q600" s="483"/>
      <c r="R600" s="483"/>
      <c r="S600" s="40"/>
    </row>
    <row r="601" spans="14:19" ht="15" customHeight="1">
      <c r="N601" s="483"/>
      <c r="O601" s="483"/>
      <c r="P601" s="483"/>
      <c r="Q601" s="483"/>
      <c r="R601" s="483"/>
      <c r="S601" s="40"/>
    </row>
    <row r="602" spans="14:19" ht="15" customHeight="1">
      <c r="N602" s="483"/>
      <c r="O602" s="483"/>
      <c r="P602" s="483"/>
      <c r="Q602" s="483"/>
      <c r="R602" s="483"/>
      <c r="S602" s="40"/>
    </row>
    <row r="603" spans="14:19" ht="15" customHeight="1">
      <c r="N603" s="483"/>
      <c r="O603" s="483"/>
      <c r="P603" s="483"/>
      <c r="Q603" s="483"/>
      <c r="R603" s="483"/>
      <c r="S603" s="40"/>
    </row>
    <row r="604" spans="14:19" ht="15" customHeight="1">
      <c r="N604" s="483"/>
      <c r="O604" s="483"/>
      <c r="P604" s="483"/>
      <c r="Q604" s="483"/>
      <c r="R604" s="483"/>
      <c r="S604" s="40"/>
    </row>
    <row r="605" spans="14:19" ht="15" customHeight="1">
      <c r="N605" s="483"/>
      <c r="O605" s="483"/>
      <c r="P605" s="483"/>
      <c r="Q605" s="483"/>
      <c r="R605" s="483"/>
      <c r="S605" s="40"/>
    </row>
    <row r="606" spans="14:19" ht="15" customHeight="1">
      <c r="N606" s="483"/>
      <c r="O606" s="483"/>
      <c r="P606" s="483"/>
      <c r="Q606" s="483"/>
      <c r="R606" s="483"/>
      <c r="S606" s="40"/>
    </row>
    <row r="607" spans="14:19" ht="15" customHeight="1">
      <c r="N607" s="483"/>
      <c r="O607" s="483"/>
      <c r="P607" s="483"/>
      <c r="Q607" s="483"/>
      <c r="R607" s="483"/>
      <c r="S607" s="40"/>
    </row>
    <row r="608" spans="14:19" ht="15" customHeight="1">
      <c r="N608" s="483"/>
      <c r="O608" s="483"/>
      <c r="P608" s="483"/>
      <c r="Q608" s="483"/>
      <c r="R608" s="483"/>
      <c r="S608" s="40"/>
    </row>
    <row r="609" spans="14:19" ht="15" customHeight="1">
      <c r="N609" s="483"/>
      <c r="O609" s="483"/>
      <c r="P609" s="483"/>
      <c r="Q609" s="483"/>
      <c r="R609" s="483"/>
      <c r="S609" s="40"/>
    </row>
    <row r="610" spans="14:19" ht="15" customHeight="1">
      <c r="N610" s="483"/>
      <c r="O610" s="483"/>
      <c r="P610" s="483"/>
      <c r="Q610" s="483"/>
      <c r="R610" s="483"/>
      <c r="S610" s="40"/>
    </row>
    <row r="611" spans="14:19" ht="15" customHeight="1">
      <c r="N611" s="483"/>
      <c r="O611" s="483"/>
      <c r="P611" s="483"/>
      <c r="Q611" s="483"/>
      <c r="R611" s="483"/>
      <c r="S611" s="40"/>
    </row>
    <row r="612" spans="14:19" ht="15" customHeight="1">
      <c r="N612" s="483"/>
      <c r="O612" s="483"/>
      <c r="P612" s="483"/>
      <c r="Q612" s="483"/>
      <c r="R612" s="483"/>
      <c r="S612" s="40"/>
    </row>
    <row r="613" spans="14:19" ht="15" customHeight="1">
      <c r="N613" s="483"/>
      <c r="O613" s="483"/>
      <c r="P613" s="483"/>
      <c r="Q613" s="483"/>
      <c r="R613" s="483"/>
      <c r="S613" s="40"/>
    </row>
    <row r="614" spans="14:19" ht="15" customHeight="1">
      <c r="N614" s="483"/>
      <c r="O614" s="483"/>
      <c r="P614" s="483"/>
      <c r="Q614" s="483"/>
      <c r="R614" s="483"/>
      <c r="S614" s="40"/>
    </row>
    <row r="615" spans="14:19" ht="15" customHeight="1">
      <c r="N615" s="483"/>
      <c r="O615" s="483"/>
      <c r="P615" s="483"/>
      <c r="Q615" s="483"/>
      <c r="R615" s="483"/>
      <c r="S615" s="40"/>
    </row>
    <row r="616" spans="14:19" ht="15" customHeight="1">
      <c r="N616" s="483"/>
      <c r="O616" s="483"/>
      <c r="P616" s="483"/>
      <c r="Q616" s="483"/>
      <c r="R616" s="483"/>
      <c r="S616" s="40"/>
    </row>
    <row r="617" spans="14:19" ht="15" customHeight="1">
      <c r="N617" s="483"/>
      <c r="O617" s="483"/>
      <c r="P617" s="483"/>
      <c r="Q617" s="483"/>
      <c r="R617" s="483"/>
      <c r="S617" s="40"/>
    </row>
    <row r="618" spans="14:19" ht="15" customHeight="1">
      <c r="N618" s="483"/>
      <c r="O618" s="483"/>
      <c r="P618" s="483"/>
      <c r="Q618" s="483"/>
      <c r="R618" s="483"/>
      <c r="S618" s="40"/>
    </row>
    <row r="619" spans="14:19" ht="15" customHeight="1">
      <c r="N619" s="483"/>
      <c r="O619" s="483"/>
      <c r="P619" s="483"/>
      <c r="Q619" s="483"/>
      <c r="R619" s="483"/>
      <c r="S619" s="40"/>
    </row>
    <row r="620" spans="14:19" ht="15" customHeight="1">
      <c r="N620" s="483"/>
      <c r="O620" s="483"/>
      <c r="P620" s="483"/>
      <c r="Q620" s="483"/>
      <c r="R620" s="483"/>
      <c r="S620" s="40"/>
    </row>
    <row r="621" spans="14:19" ht="15" customHeight="1">
      <c r="N621" s="483"/>
      <c r="O621" s="483"/>
      <c r="P621" s="483"/>
      <c r="Q621" s="483"/>
      <c r="R621" s="483"/>
      <c r="S621" s="40"/>
    </row>
    <row r="622" spans="14:19" ht="15" customHeight="1">
      <c r="N622" s="483"/>
      <c r="O622" s="483"/>
      <c r="P622" s="483"/>
      <c r="Q622" s="483"/>
      <c r="R622" s="483"/>
      <c r="S622" s="40"/>
    </row>
    <row r="623" spans="14:19" ht="15" customHeight="1">
      <c r="N623" s="483"/>
      <c r="O623" s="483"/>
      <c r="P623" s="483"/>
      <c r="Q623" s="483"/>
      <c r="R623" s="483"/>
      <c r="S623" s="40"/>
    </row>
    <row r="624" spans="14:19" ht="15" customHeight="1">
      <c r="N624" s="483"/>
      <c r="O624" s="483"/>
      <c r="P624" s="483"/>
      <c r="Q624" s="483"/>
      <c r="R624" s="483"/>
      <c r="S624" s="40"/>
    </row>
    <row r="625" spans="14:19" ht="15" customHeight="1">
      <c r="N625" s="483"/>
      <c r="O625" s="483"/>
      <c r="P625" s="483"/>
      <c r="Q625" s="483"/>
      <c r="R625" s="483"/>
      <c r="S625" s="40"/>
    </row>
    <row r="626" spans="14:19" ht="15" customHeight="1">
      <c r="N626" s="483"/>
      <c r="O626" s="483"/>
      <c r="P626" s="483"/>
      <c r="Q626" s="483"/>
      <c r="R626" s="483"/>
      <c r="S626" s="40"/>
    </row>
    <row r="627" spans="14:19" ht="15" customHeight="1">
      <c r="N627" s="483"/>
      <c r="O627" s="483"/>
      <c r="P627" s="483"/>
      <c r="Q627" s="483"/>
      <c r="R627" s="483"/>
      <c r="S627" s="40"/>
    </row>
    <row r="628" spans="14:19" ht="15" customHeight="1">
      <c r="N628" s="483"/>
      <c r="O628" s="483"/>
      <c r="P628" s="483"/>
      <c r="Q628" s="483"/>
      <c r="R628" s="483"/>
      <c r="S628" s="40"/>
    </row>
    <row r="629" spans="14:19" ht="15" customHeight="1">
      <c r="N629" s="483"/>
      <c r="O629" s="483"/>
      <c r="P629" s="483"/>
      <c r="Q629" s="483"/>
      <c r="R629" s="483"/>
      <c r="S629" s="40"/>
    </row>
    <row r="630" spans="14:19" ht="15" customHeight="1">
      <c r="N630" s="483"/>
      <c r="O630" s="483"/>
      <c r="P630" s="483"/>
      <c r="Q630" s="483"/>
      <c r="R630" s="483"/>
      <c r="S630" s="40"/>
    </row>
    <row r="631" spans="14:19" ht="15" customHeight="1">
      <c r="N631" s="483"/>
      <c r="O631" s="483"/>
      <c r="P631" s="483"/>
      <c r="Q631" s="483"/>
      <c r="R631" s="483"/>
      <c r="S631" s="40"/>
    </row>
    <row r="632" spans="14:19" ht="15" customHeight="1">
      <c r="N632" s="483"/>
      <c r="O632" s="483"/>
      <c r="P632" s="483"/>
      <c r="Q632" s="483"/>
      <c r="R632" s="483"/>
      <c r="S632" s="40"/>
    </row>
    <row r="633" spans="14:19" ht="15" customHeight="1">
      <c r="N633" s="483"/>
      <c r="O633" s="483"/>
      <c r="P633" s="483"/>
      <c r="Q633" s="483"/>
      <c r="R633" s="483"/>
      <c r="S633" s="40"/>
    </row>
    <row r="634" spans="14:19" ht="15" customHeight="1">
      <c r="N634" s="483"/>
      <c r="O634" s="483"/>
      <c r="P634" s="483"/>
      <c r="Q634" s="483"/>
      <c r="R634" s="483"/>
      <c r="S634" s="40"/>
    </row>
    <row r="635" spans="14:19" ht="15" customHeight="1">
      <c r="N635" s="483"/>
      <c r="O635" s="483"/>
      <c r="P635" s="483"/>
      <c r="Q635" s="483"/>
      <c r="R635" s="483"/>
      <c r="S635" s="40"/>
    </row>
    <row r="636" spans="14:19" ht="15" customHeight="1">
      <c r="N636" s="483"/>
      <c r="O636" s="483"/>
      <c r="P636" s="483"/>
      <c r="Q636" s="483"/>
      <c r="R636" s="483"/>
      <c r="S636" s="40"/>
    </row>
    <row r="637" spans="14:19" ht="15" customHeight="1">
      <c r="N637" s="483"/>
      <c r="O637" s="483"/>
      <c r="P637" s="483"/>
      <c r="Q637" s="483"/>
      <c r="R637" s="483"/>
      <c r="S637" s="40"/>
    </row>
    <row r="638" spans="14:19" ht="15" customHeight="1">
      <c r="N638" s="483"/>
      <c r="O638" s="483"/>
      <c r="P638" s="483"/>
      <c r="Q638" s="483"/>
      <c r="R638" s="483"/>
      <c r="S638" s="40"/>
    </row>
    <row r="639" spans="14:19" ht="15" customHeight="1">
      <c r="N639" s="483"/>
      <c r="O639" s="483"/>
      <c r="P639" s="483"/>
      <c r="Q639" s="483"/>
      <c r="R639" s="483"/>
      <c r="S639" s="40"/>
    </row>
    <row r="640" spans="14:19" ht="15" customHeight="1">
      <c r="N640" s="483"/>
      <c r="O640" s="483"/>
      <c r="P640" s="483"/>
      <c r="Q640" s="483"/>
      <c r="R640" s="483"/>
      <c r="S640" s="40"/>
    </row>
    <row r="641" spans="14:19" ht="15" customHeight="1">
      <c r="N641" s="483"/>
      <c r="O641" s="483"/>
      <c r="P641" s="483"/>
      <c r="Q641" s="483"/>
      <c r="R641" s="483"/>
      <c r="S641" s="40"/>
    </row>
    <row r="642" spans="14:19" ht="15" customHeight="1">
      <c r="N642" s="483"/>
      <c r="O642" s="483"/>
      <c r="P642" s="483"/>
      <c r="Q642" s="483"/>
      <c r="R642" s="483"/>
      <c r="S642" s="40"/>
    </row>
    <row r="643" spans="14:19" ht="15" customHeight="1">
      <c r="N643" s="483"/>
      <c r="O643" s="483"/>
      <c r="P643" s="483"/>
      <c r="Q643" s="483"/>
      <c r="R643" s="483"/>
      <c r="S643" s="40"/>
    </row>
    <row r="644" spans="14:19" ht="15" customHeight="1">
      <c r="N644" s="483"/>
      <c r="O644" s="483"/>
      <c r="P644" s="483"/>
      <c r="Q644" s="483"/>
      <c r="R644" s="483"/>
      <c r="S644" s="40"/>
    </row>
    <row r="645" spans="14:19" ht="15" customHeight="1">
      <c r="N645" s="483"/>
      <c r="O645" s="483"/>
      <c r="P645" s="483"/>
      <c r="Q645" s="483"/>
      <c r="R645" s="483"/>
      <c r="S645" s="40"/>
    </row>
    <row r="646" spans="14:19" ht="15" customHeight="1">
      <c r="N646" s="483"/>
      <c r="O646" s="483"/>
      <c r="P646" s="483"/>
      <c r="Q646" s="483"/>
      <c r="R646" s="483"/>
      <c r="S646" s="40"/>
    </row>
    <row r="647" spans="14:19" ht="15" customHeight="1">
      <c r="N647" s="483"/>
      <c r="O647" s="483"/>
      <c r="P647" s="483"/>
      <c r="Q647" s="483"/>
      <c r="R647" s="483"/>
      <c r="S647" s="40"/>
    </row>
    <row r="648" spans="14:19" ht="15" customHeight="1">
      <c r="N648" s="483"/>
      <c r="O648" s="483"/>
      <c r="P648" s="483"/>
      <c r="Q648" s="483"/>
      <c r="R648" s="483"/>
      <c r="S648" s="40"/>
    </row>
    <row r="649" spans="14:19" ht="15" customHeight="1">
      <c r="N649" s="483"/>
      <c r="O649" s="483"/>
      <c r="P649" s="483"/>
      <c r="Q649" s="483"/>
      <c r="R649" s="483"/>
      <c r="S649" s="40"/>
    </row>
    <row r="650" spans="14:19" ht="15" customHeight="1">
      <c r="N650" s="483"/>
      <c r="O650" s="483"/>
      <c r="P650" s="483"/>
      <c r="Q650" s="483"/>
      <c r="R650" s="483"/>
      <c r="S650" s="40"/>
    </row>
    <row r="651" spans="14:19" ht="15" customHeight="1">
      <c r="N651" s="483"/>
      <c r="O651" s="483"/>
      <c r="P651" s="483"/>
      <c r="Q651" s="483"/>
      <c r="R651" s="483"/>
      <c r="S651" s="40"/>
    </row>
    <row r="652" spans="14:19" ht="15" customHeight="1">
      <c r="N652" s="483"/>
      <c r="O652" s="483"/>
      <c r="P652" s="483"/>
      <c r="Q652" s="483"/>
      <c r="R652" s="483"/>
      <c r="S652" s="40"/>
    </row>
    <row r="653" spans="14:19" ht="15" customHeight="1">
      <c r="N653" s="483"/>
      <c r="O653" s="483"/>
      <c r="P653" s="483"/>
      <c r="Q653" s="483"/>
      <c r="R653" s="483"/>
      <c r="S653" s="40"/>
    </row>
    <row r="654" spans="14:19" ht="15" customHeight="1">
      <c r="N654" s="483"/>
      <c r="O654" s="483"/>
      <c r="P654" s="483"/>
      <c r="Q654" s="483"/>
      <c r="R654" s="483"/>
      <c r="S654" s="40"/>
    </row>
    <row r="655" spans="14:19" ht="15" customHeight="1">
      <c r="N655" s="483"/>
      <c r="O655" s="483"/>
      <c r="P655" s="483"/>
      <c r="Q655" s="483"/>
      <c r="R655" s="483"/>
      <c r="S655" s="40"/>
    </row>
    <row r="656" spans="14:19" ht="15" customHeight="1">
      <c r="N656" s="483"/>
      <c r="O656" s="483"/>
      <c r="P656" s="483"/>
      <c r="Q656" s="483"/>
      <c r="R656" s="483"/>
      <c r="S656" s="40"/>
    </row>
    <row r="657" spans="14:19" ht="15" customHeight="1">
      <c r="N657" s="483"/>
      <c r="O657" s="483"/>
      <c r="P657" s="483"/>
      <c r="Q657" s="483"/>
      <c r="R657" s="483"/>
      <c r="S657" s="40"/>
    </row>
    <row r="658" spans="14:19" ht="15" customHeight="1">
      <c r="N658" s="483"/>
      <c r="O658" s="483"/>
      <c r="P658" s="483"/>
      <c r="Q658" s="483"/>
      <c r="R658" s="483"/>
      <c r="S658" s="40"/>
    </row>
  </sheetData>
  <mergeCells count="660">
    <mergeCell ref="C10:J10"/>
    <mergeCell ref="S70:S73"/>
    <mergeCell ref="H70:H73"/>
    <mergeCell ref="I70:I73"/>
    <mergeCell ref="J70:J73"/>
    <mergeCell ref="K70:K73"/>
    <mergeCell ref="S410:S413"/>
    <mergeCell ref="C315:C318"/>
    <mergeCell ref="D315:G318"/>
    <mergeCell ref="H315:H318"/>
    <mergeCell ref="I315:I318"/>
    <mergeCell ref="J315:J318"/>
    <mergeCell ref="K315:K318"/>
    <mergeCell ref="L315:L318"/>
    <mergeCell ref="S315:S318"/>
    <mergeCell ref="I410:I413"/>
    <mergeCell ref="C37:C40"/>
    <mergeCell ref="J410:J413"/>
    <mergeCell ref="K410:K413"/>
    <mergeCell ref="L410:L413"/>
    <mergeCell ref="C410:C413"/>
    <mergeCell ref="D410:G413"/>
    <mergeCell ref="H410:H413"/>
    <mergeCell ref="L70:L73"/>
    <mergeCell ref="H359:H362"/>
    <mergeCell ref="I359:I362"/>
    <mergeCell ref="K27:K30"/>
    <mergeCell ref="L27:L30"/>
    <mergeCell ref="S27:S30"/>
    <mergeCell ref="C32:C35"/>
    <mergeCell ref="D32:G35"/>
    <mergeCell ref="H32:H35"/>
    <mergeCell ref="J32:J35"/>
    <mergeCell ref="S32:S35"/>
    <mergeCell ref="I32:I35"/>
    <mergeCell ref="K32:K35"/>
    <mergeCell ref="K17:K20"/>
    <mergeCell ref="L17:L20"/>
    <mergeCell ref="S17:S20"/>
    <mergeCell ref="S22:S25"/>
    <mergeCell ref="A22:A25"/>
    <mergeCell ref="C22:C25"/>
    <mergeCell ref="I22:I25"/>
    <mergeCell ref="C27:C30"/>
    <mergeCell ref="D27:G30"/>
    <mergeCell ref="H27:H30"/>
    <mergeCell ref="D22:G25"/>
    <mergeCell ref="A124:A127"/>
    <mergeCell ref="A129:A132"/>
    <mergeCell ref="A315:A318"/>
    <mergeCell ref="I27:I30"/>
    <mergeCell ref="I37:I40"/>
    <mergeCell ref="I42:I45"/>
    <mergeCell ref="D37:G40"/>
    <mergeCell ref="H37:H40"/>
    <mergeCell ref="C42:C45"/>
    <mergeCell ref="D42:G45"/>
    <mergeCell ref="A84:A95"/>
    <mergeCell ref="A102:A105"/>
    <mergeCell ref="A108:A111"/>
    <mergeCell ref="A118:A122"/>
    <mergeCell ref="A98:A101"/>
    <mergeCell ref="C17:C20"/>
    <mergeCell ref="I17:I20"/>
    <mergeCell ref="D17:G20"/>
    <mergeCell ref="H17:H20"/>
    <mergeCell ref="A42:A45"/>
    <mergeCell ref="A70:A73"/>
    <mergeCell ref="A152:A163"/>
    <mergeCell ref="A17:A20"/>
    <mergeCell ref="A75:A78"/>
    <mergeCell ref="A47:A50"/>
    <mergeCell ref="A52:A55"/>
    <mergeCell ref="A80:A83"/>
    <mergeCell ref="A113:A116"/>
    <mergeCell ref="A134:A145"/>
    <mergeCell ref="D12:G15"/>
    <mergeCell ref="H12:H15"/>
    <mergeCell ref="J12:J15"/>
    <mergeCell ref="L12:L15"/>
    <mergeCell ref="J359:J362"/>
    <mergeCell ref="K359:K362"/>
    <mergeCell ref="K341:K344"/>
    <mergeCell ref="A345:A348"/>
    <mergeCell ref="D341:G352"/>
    <mergeCell ref="C341:C352"/>
    <mergeCell ref="H341:H352"/>
    <mergeCell ref="A341:A344"/>
    <mergeCell ref="I345:I348"/>
    <mergeCell ref="J345:J348"/>
    <mergeCell ref="K345:K348"/>
    <mergeCell ref="A474:A490"/>
    <mergeCell ref="K474:K490"/>
    <mergeCell ref="L474:L479"/>
    <mergeCell ref="L466:L469"/>
    <mergeCell ref="L423:L427"/>
    <mergeCell ref="L428:L432"/>
    <mergeCell ref="C464:G464"/>
    <mergeCell ref="I466:I469"/>
    <mergeCell ref="J466:J469"/>
    <mergeCell ref="S474:S490"/>
    <mergeCell ref="L480:L484"/>
    <mergeCell ref="L485:L490"/>
    <mergeCell ref="C474:J490"/>
    <mergeCell ref="S466:S469"/>
    <mergeCell ref="A470:A473"/>
    <mergeCell ref="K470:K473"/>
    <mergeCell ref="S470:S473"/>
    <mergeCell ref="L470:L473"/>
    <mergeCell ref="C470:J473"/>
    <mergeCell ref="A466:A469"/>
    <mergeCell ref="C466:C469"/>
    <mergeCell ref="D466:G469"/>
    <mergeCell ref="H466:H469"/>
    <mergeCell ref="K466:K469"/>
    <mergeCell ref="S415:S418"/>
    <mergeCell ref="A419:A432"/>
    <mergeCell ref="C419:J432"/>
    <mergeCell ref="I415:I418"/>
    <mergeCell ref="J415:J418"/>
    <mergeCell ref="A415:A418"/>
    <mergeCell ref="C415:C418"/>
    <mergeCell ref="D415:G418"/>
    <mergeCell ref="H415:H418"/>
    <mergeCell ref="K98:K101"/>
    <mergeCell ref="L98:L101"/>
    <mergeCell ref="S98:S101"/>
    <mergeCell ref="K419:K432"/>
    <mergeCell ref="L419:L422"/>
    <mergeCell ref="S419:S432"/>
    <mergeCell ref="K415:K418"/>
    <mergeCell ref="L415:L418"/>
    <mergeCell ref="S377:S388"/>
    <mergeCell ref="L381:L384"/>
    <mergeCell ref="A389:A402"/>
    <mergeCell ref="S389:S402"/>
    <mergeCell ref="L394:L397"/>
    <mergeCell ref="L398:L402"/>
    <mergeCell ref="C389:J402"/>
    <mergeCell ref="K389:K402"/>
    <mergeCell ref="L389:L393"/>
    <mergeCell ref="A377:A388"/>
    <mergeCell ref="C377:C388"/>
    <mergeCell ref="C313:G313"/>
    <mergeCell ref="A359:A362"/>
    <mergeCell ref="C359:C362"/>
    <mergeCell ref="D359:G362"/>
    <mergeCell ref="A331:A334"/>
    <mergeCell ref="C331:C334"/>
    <mergeCell ref="D331:G334"/>
    <mergeCell ref="A336:A339"/>
    <mergeCell ref="L385:L388"/>
    <mergeCell ref="D377:G388"/>
    <mergeCell ref="H377:H388"/>
    <mergeCell ref="I377:I388"/>
    <mergeCell ref="J377:J388"/>
    <mergeCell ref="K377:K388"/>
    <mergeCell ref="L377:L380"/>
    <mergeCell ref="A8:A9"/>
    <mergeCell ref="H8:H9"/>
    <mergeCell ref="A56:A67"/>
    <mergeCell ref="C56:J67"/>
    <mergeCell ref="A27:A30"/>
    <mergeCell ref="A32:A35"/>
    <mergeCell ref="A37:A40"/>
    <mergeCell ref="I12:I15"/>
    <mergeCell ref="A12:A15"/>
    <mergeCell ref="C12:C15"/>
    <mergeCell ref="C70:C73"/>
    <mergeCell ref="D70:G73"/>
    <mergeCell ref="C47:C50"/>
    <mergeCell ref="D47:G50"/>
    <mergeCell ref="C52:C55"/>
    <mergeCell ref="D52:G55"/>
    <mergeCell ref="H47:H50"/>
    <mergeCell ref="I47:I50"/>
    <mergeCell ref="J47:J50"/>
    <mergeCell ref="H22:H25"/>
    <mergeCell ref="J27:J30"/>
    <mergeCell ref="J37:J40"/>
    <mergeCell ref="H42:H45"/>
    <mergeCell ref="J42:J45"/>
    <mergeCell ref="K108:K111"/>
    <mergeCell ref="L108:L111"/>
    <mergeCell ref="I8:I9"/>
    <mergeCell ref="J8:J9"/>
    <mergeCell ref="K8:K9"/>
    <mergeCell ref="J17:J20"/>
    <mergeCell ref="K37:K40"/>
    <mergeCell ref="L37:L40"/>
    <mergeCell ref="K42:K45"/>
    <mergeCell ref="L42:L45"/>
    <mergeCell ref="S8:S9"/>
    <mergeCell ref="L84:L87"/>
    <mergeCell ref="S84:S95"/>
    <mergeCell ref="L88:L91"/>
    <mergeCell ref="L92:L95"/>
    <mergeCell ref="S12:S15"/>
    <mergeCell ref="S47:S50"/>
    <mergeCell ref="S56:S67"/>
    <mergeCell ref="L8:L9"/>
    <mergeCell ref="S42:S45"/>
    <mergeCell ref="N8:R8"/>
    <mergeCell ref="M8:M9"/>
    <mergeCell ref="S102:S105"/>
    <mergeCell ref="L102:L105"/>
    <mergeCell ref="S75:S78"/>
    <mergeCell ref="S80:S83"/>
    <mergeCell ref="L75:L78"/>
    <mergeCell ref="L80:L83"/>
    <mergeCell ref="L32:L35"/>
    <mergeCell ref="S37:S40"/>
    <mergeCell ref="S108:S111"/>
    <mergeCell ref="C84:J95"/>
    <mergeCell ref="C98:C101"/>
    <mergeCell ref="D98:G101"/>
    <mergeCell ref="H98:H101"/>
    <mergeCell ref="I98:I101"/>
    <mergeCell ref="J98:J101"/>
    <mergeCell ref="C96:G96"/>
    <mergeCell ref="K84:K95"/>
    <mergeCell ref="K102:K105"/>
    <mergeCell ref="K113:K116"/>
    <mergeCell ref="L113:L116"/>
    <mergeCell ref="S113:S116"/>
    <mergeCell ref="C113:C116"/>
    <mergeCell ref="D113:G116"/>
    <mergeCell ref="H113:H116"/>
    <mergeCell ref="I113:I116"/>
    <mergeCell ref="S118:S122"/>
    <mergeCell ref="C118:C122"/>
    <mergeCell ref="D118:G122"/>
    <mergeCell ref="H118:H122"/>
    <mergeCell ref="I118:I122"/>
    <mergeCell ref="K118:K122"/>
    <mergeCell ref="L118:L122"/>
    <mergeCell ref="J118:J122"/>
    <mergeCell ref="L129:L132"/>
    <mergeCell ref="C124:C127"/>
    <mergeCell ref="D124:G127"/>
    <mergeCell ref="H124:H127"/>
    <mergeCell ref="I124:I127"/>
    <mergeCell ref="D129:G132"/>
    <mergeCell ref="H129:H132"/>
    <mergeCell ref="C129:C132"/>
    <mergeCell ref="K124:K127"/>
    <mergeCell ref="L124:L127"/>
    <mergeCell ref="S297:S312"/>
    <mergeCell ref="L303:L306"/>
    <mergeCell ref="L307:L312"/>
    <mergeCell ref="L268:L271"/>
    <mergeCell ref="S288:S291"/>
    <mergeCell ref="S278:S281"/>
    <mergeCell ref="L288:L291"/>
    <mergeCell ref="L273:L276"/>
    <mergeCell ref="L278:L281"/>
    <mergeCell ref="I129:I132"/>
    <mergeCell ref="I293:I296"/>
    <mergeCell ref="J293:J296"/>
    <mergeCell ref="K268:K271"/>
    <mergeCell ref="K283:K286"/>
    <mergeCell ref="J278:J281"/>
    <mergeCell ref="K129:K132"/>
    <mergeCell ref="J129:J132"/>
    <mergeCell ref="I263:I266"/>
    <mergeCell ref="J263:J266"/>
    <mergeCell ref="S124:S127"/>
    <mergeCell ref="S129:S132"/>
    <mergeCell ref="S263:S266"/>
    <mergeCell ref="S293:S296"/>
    <mergeCell ref="S268:S271"/>
    <mergeCell ref="S273:S276"/>
    <mergeCell ref="S283:S286"/>
    <mergeCell ref="S178:S181"/>
    <mergeCell ref="S183:S186"/>
    <mergeCell ref="S188:S191"/>
    <mergeCell ref="A297:A312"/>
    <mergeCell ref="C297:J312"/>
    <mergeCell ref="K297:K312"/>
    <mergeCell ref="L297:L302"/>
    <mergeCell ref="A293:A296"/>
    <mergeCell ref="C293:C296"/>
    <mergeCell ref="D293:G296"/>
    <mergeCell ref="A268:A271"/>
    <mergeCell ref="C268:C271"/>
    <mergeCell ref="D268:G271"/>
    <mergeCell ref="A283:A286"/>
    <mergeCell ref="A273:A276"/>
    <mergeCell ref="A278:A281"/>
    <mergeCell ref="D278:G281"/>
    <mergeCell ref="H52:H55"/>
    <mergeCell ref="L64:L67"/>
    <mergeCell ref="S52:S55"/>
    <mergeCell ref="K56:K67"/>
    <mergeCell ref="L56:L59"/>
    <mergeCell ref="K52:K55"/>
    <mergeCell ref="L60:L63"/>
    <mergeCell ref="J52:J55"/>
    <mergeCell ref="C8:G9"/>
    <mergeCell ref="L52:L55"/>
    <mergeCell ref="K47:K50"/>
    <mergeCell ref="L47:L50"/>
    <mergeCell ref="L22:L25"/>
    <mergeCell ref="J22:J25"/>
    <mergeCell ref="K22:K25"/>
    <mergeCell ref="K12:K15"/>
    <mergeCell ref="I52:I55"/>
    <mergeCell ref="H293:H296"/>
    <mergeCell ref="I268:I271"/>
    <mergeCell ref="J268:J271"/>
    <mergeCell ref="I278:I281"/>
    <mergeCell ref="I288:I291"/>
    <mergeCell ref="I283:I286"/>
    <mergeCell ref="J283:J286"/>
    <mergeCell ref="H273:H276"/>
    <mergeCell ref="I273:I276"/>
    <mergeCell ref="J273:J276"/>
    <mergeCell ref="I108:I111"/>
    <mergeCell ref="J108:J111"/>
    <mergeCell ref="C106:G106"/>
    <mergeCell ref="J113:J116"/>
    <mergeCell ref="C108:C111"/>
    <mergeCell ref="D108:G111"/>
    <mergeCell ref="H108:H111"/>
    <mergeCell ref="A263:A266"/>
    <mergeCell ref="C263:C266"/>
    <mergeCell ref="D263:G266"/>
    <mergeCell ref="D75:G78"/>
    <mergeCell ref="C102:J105"/>
    <mergeCell ref="C80:C83"/>
    <mergeCell ref="D80:G83"/>
    <mergeCell ref="H80:H83"/>
    <mergeCell ref="I80:I83"/>
    <mergeCell ref="J124:J127"/>
    <mergeCell ref="A288:A291"/>
    <mergeCell ref="C288:C291"/>
    <mergeCell ref="D288:G291"/>
    <mergeCell ref="H288:H291"/>
    <mergeCell ref="K263:K266"/>
    <mergeCell ref="C258:C261"/>
    <mergeCell ref="D258:G261"/>
    <mergeCell ref="H258:H261"/>
    <mergeCell ref="H263:H266"/>
    <mergeCell ref="C283:C286"/>
    <mergeCell ref="D283:G286"/>
    <mergeCell ref="H283:H286"/>
    <mergeCell ref="C278:C281"/>
    <mergeCell ref="H278:H281"/>
    <mergeCell ref="H268:H271"/>
    <mergeCell ref="C273:C276"/>
    <mergeCell ref="D273:G276"/>
    <mergeCell ref="A147:A150"/>
    <mergeCell ref="C147:C150"/>
    <mergeCell ref="D147:G150"/>
    <mergeCell ref="A183:A186"/>
    <mergeCell ref="C183:C186"/>
    <mergeCell ref="D183:G186"/>
    <mergeCell ref="A238:A241"/>
    <mergeCell ref="C238:C241"/>
    <mergeCell ref="H147:H150"/>
    <mergeCell ref="I147:I150"/>
    <mergeCell ref="J147:J150"/>
    <mergeCell ref="H183:H186"/>
    <mergeCell ref="D238:G241"/>
    <mergeCell ref="H238:H241"/>
    <mergeCell ref="I238:I241"/>
    <mergeCell ref="J238:J241"/>
    <mergeCell ref="H203:H206"/>
    <mergeCell ref="K147:K150"/>
    <mergeCell ref="L147:L150"/>
    <mergeCell ref="L165:L168"/>
    <mergeCell ref="S147:S150"/>
    <mergeCell ref="L152:L155"/>
    <mergeCell ref="L156:L159"/>
    <mergeCell ref="L160:L163"/>
    <mergeCell ref="K152:K163"/>
    <mergeCell ref="L169:L172"/>
    <mergeCell ref="A178:A181"/>
    <mergeCell ref="C178:C181"/>
    <mergeCell ref="D178:G181"/>
    <mergeCell ref="H178:H181"/>
    <mergeCell ref="I178:I181"/>
    <mergeCell ref="J178:J181"/>
    <mergeCell ref="K178:K181"/>
    <mergeCell ref="L178:L181"/>
    <mergeCell ref="A165:A176"/>
    <mergeCell ref="A188:A191"/>
    <mergeCell ref="C188:C191"/>
    <mergeCell ref="D188:G191"/>
    <mergeCell ref="H188:H191"/>
    <mergeCell ref="K238:K241"/>
    <mergeCell ref="L238:L241"/>
    <mergeCell ref="S238:S241"/>
    <mergeCell ref="L243:L246"/>
    <mergeCell ref="K243:K246"/>
    <mergeCell ref="A243:A246"/>
    <mergeCell ref="C243:C246"/>
    <mergeCell ref="D243:G246"/>
    <mergeCell ref="H243:H246"/>
    <mergeCell ref="I243:I246"/>
    <mergeCell ref="J243:J246"/>
    <mergeCell ref="S243:S246"/>
    <mergeCell ref="A248:A251"/>
    <mergeCell ref="C248:C251"/>
    <mergeCell ref="D248:G251"/>
    <mergeCell ref="H248:H251"/>
    <mergeCell ref="I248:I251"/>
    <mergeCell ref="J248:J251"/>
    <mergeCell ref="K248:K251"/>
    <mergeCell ref="L248:L251"/>
    <mergeCell ref="S248:S251"/>
    <mergeCell ref="L258:L261"/>
    <mergeCell ref="K253:K256"/>
    <mergeCell ref="L253:L256"/>
    <mergeCell ref="S258:S261"/>
    <mergeCell ref="A253:A256"/>
    <mergeCell ref="C253:C256"/>
    <mergeCell ref="D253:G256"/>
    <mergeCell ref="H253:H256"/>
    <mergeCell ref="I253:I256"/>
    <mergeCell ref="J253:J256"/>
    <mergeCell ref="A258:A261"/>
    <mergeCell ref="A193:A196"/>
    <mergeCell ref="C193:C196"/>
    <mergeCell ref="D193:G196"/>
    <mergeCell ref="H193:H196"/>
    <mergeCell ref="A203:A206"/>
    <mergeCell ref="C203:C206"/>
    <mergeCell ref="D203:G206"/>
    <mergeCell ref="S193:S196"/>
    <mergeCell ref="K198:K201"/>
    <mergeCell ref="L198:L201"/>
    <mergeCell ref="A198:A201"/>
    <mergeCell ref="C198:C201"/>
    <mergeCell ref="D198:G201"/>
    <mergeCell ref="H198:H201"/>
    <mergeCell ref="S198:S201"/>
    <mergeCell ref="I198:I201"/>
    <mergeCell ref="J198:J201"/>
    <mergeCell ref="S203:S206"/>
    <mergeCell ref="K208:K211"/>
    <mergeCell ref="L208:L211"/>
    <mergeCell ref="S208:S211"/>
    <mergeCell ref="A208:A211"/>
    <mergeCell ref="C208:C211"/>
    <mergeCell ref="D208:G211"/>
    <mergeCell ref="H208:H211"/>
    <mergeCell ref="A213:A216"/>
    <mergeCell ref="C213:C216"/>
    <mergeCell ref="D213:G216"/>
    <mergeCell ref="H213:H216"/>
    <mergeCell ref="S213:S216"/>
    <mergeCell ref="K218:K221"/>
    <mergeCell ref="L218:L221"/>
    <mergeCell ref="A218:A221"/>
    <mergeCell ref="C218:C221"/>
    <mergeCell ref="D218:G221"/>
    <mergeCell ref="H218:H221"/>
    <mergeCell ref="S218:S221"/>
    <mergeCell ref="I213:I216"/>
    <mergeCell ref="J213:J216"/>
    <mergeCell ref="S223:S226"/>
    <mergeCell ref="A228:A231"/>
    <mergeCell ref="C228:C231"/>
    <mergeCell ref="D228:G231"/>
    <mergeCell ref="H228:H231"/>
    <mergeCell ref="S228:S231"/>
    <mergeCell ref="I228:I231"/>
    <mergeCell ref="J228:J231"/>
    <mergeCell ref="I223:I226"/>
    <mergeCell ref="J223:J226"/>
    <mergeCell ref="I75:I78"/>
    <mergeCell ref="J75:J78"/>
    <mergeCell ref="A233:A236"/>
    <mergeCell ref="C233:C236"/>
    <mergeCell ref="D233:G236"/>
    <mergeCell ref="H233:H236"/>
    <mergeCell ref="A223:A226"/>
    <mergeCell ref="C223:C226"/>
    <mergeCell ref="D223:G226"/>
    <mergeCell ref="H223:H226"/>
    <mergeCell ref="D435:G446"/>
    <mergeCell ref="J80:J83"/>
    <mergeCell ref="K80:K83"/>
    <mergeCell ref="K233:K236"/>
    <mergeCell ref="K320:K324"/>
    <mergeCell ref="I326:I329"/>
    <mergeCell ref="J326:J329"/>
    <mergeCell ref="K326:K329"/>
    <mergeCell ref="I320:I324"/>
    <mergeCell ref="I258:I261"/>
    <mergeCell ref="L233:L236"/>
    <mergeCell ref="I233:I236"/>
    <mergeCell ref="J233:J236"/>
    <mergeCell ref="L223:L226"/>
    <mergeCell ref="K228:K231"/>
    <mergeCell ref="L213:L216"/>
    <mergeCell ref="S233:S236"/>
    <mergeCell ref="J448:J451"/>
    <mergeCell ref="K448:K451"/>
    <mergeCell ref="L359:L362"/>
    <mergeCell ref="S359:S362"/>
    <mergeCell ref="L349:L352"/>
    <mergeCell ref="S349:S352"/>
    <mergeCell ref="S364:S375"/>
    <mergeCell ref="S253:S256"/>
    <mergeCell ref="L448:L451"/>
    <mergeCell ref="S448:S451"/>
    <mergeCell ref="H448:H451"/>
    <mergeCell ref="I448:I451"/>
    <mergeCell ref="J349:J352"/>
    <mergeCell ref="K349:K352"/>
    <mergeCell ref="L263:L266"/>
    <mergeCell ref="L320:L324"/>
    <mergeCell ref="K278:K281"/>
    <mergeCell ref="K288:K291"/>
    <mergeCell ref="K273:K276"/>
    <mergeCell ref="K293:K296"/>
    <mergeCell ref="L293:L296"/>
    <mergeCell ref="L283:L286"/>
    <mergeCell ref="S320:S324"/>
    <mergeCell ref="L452:L455"/>
    <mergeCell ref="S452:S463"/>
    <mergeCell ref="L456:L459"/>
    <mergeCell ref="L460:L463"/>
    <mergeCell ref="L331:L334"/>
    <mergeCell ref="S331:S334"/>
    <mergeCell ref="S326:S329"/>
    <mergeCell ref="L326:L329"/>
    <mergeCell ref="S345:S348"/>
    <mergeCell ref="A452:A463"/>
    <mergeCell ref="C452:J463"/>
    <mergeCell ref="K452:K463"/>
    <mergeCell ref="A448:A451"/>
    <mergeCell ref="C448:C451"/>
    <mergeCell ref="D448:G451"/>
    <mergeCell ref="A435:A446"/>
    <mergeCell ref="C435:C446"/>
    <mergeCell ref="L173:L176"/>
    <mergeCell ref="L336:L339"/>
    <mergeCell ref="L228:L231"/>
    <mergeCell ref="L345:L348"/>
    <mergeCell ref="L203:L206"/>
    <mergeCell ref="L193:L196"/>
    <mergeCell ref="L188:L191"/>
    <mergeCell ref="L183:L186"/>
    <mergeCell ref="S341:S344"/>
    <mergeCell ref="L341:L344"/>
    <mergeCell ref="D336:G339"/>
    <mergeCell ref="H336:H339"/>
    <mergeCell ref="I336:I339"/>
    <mergeCell ref="J336:J339"/>
    <mergeCell ref="K336:K339"/>
    <mergeCell ref="S336:S339"/>
    <mergeCell ref="I341:I344"/>
    <mergeCell ref="J341:J344"/>
    <mergeCell ref="K188:K191"/>
    <mergeCell ref="A326:A329"/>
    <mergeCell ref="C326:C329"/>
    <mergeCell ref="D326:G329"/>
    <mergeCell ref="H326:H329"/>
    <mergeCell ref="J320:J324"/>
    <mergeCell ref="A320:A324"/>
    <mergeCell ref="C320:C324"/>
    <mergeCell ref="D320:G324"/>
    <mergeCell ref="H320:H324"/>
    <mergeCell ref="K213:K216"/>
    <mergeCell ref="K203:K206"/>
    <mergeCell ref="I193:I196"/>
    <mergeCell ref="J193:J196"/>
    <mergeCell ref="K193:K196"/>
    <mergeCell ref="I203:I206"/>
    <mergeCell ref="J203:J206"/>
    <mergeCell ref="J188:J191"/>
    <mergeCell ref="I183:I186"/>
    <mergeCell ref="J183:J186"/>
    <mergeCell ref="J208:J211"/>
    <mergeCell ref="I188:I191"/>
    <mergeCell ref="K183:K186"/>
    <mergeCell ref="I208:I211"/>
    <mergeCell ref="H435:H446"/>
    <mergeCell ref="I435:I446"/>
    <mergeCell ref="J435:J446"/>
    <mergeCell ref="K435:K446"/>
    <mergeCell ref="J364:J375"/>
    <mergeCell ref="I364:I375"/>
    <mergeCell ref="K364:K375"/>
    <mergeCell ref="C403:M403"/>
    <mergeCell ref="L435:L438"/>
    <mergeCell ref="S435:S446"/>
    <mergeCell ref="L439:L442"/>
    <mergeCell ref="L443:L446"/>
    <mergeCell ref="L368:L371"/>
    <mergeCell ref="L364:L367"/>
    <mergeCell ref="S152:S163"/>
    <mergeCell ref="C165:C176"/>
    <mergeCell ref="D165:G176"/>
    <mergeCell ref="H165:H176"/>
    <mergeCell ref="I165:I176"/>
    <mergeCell ref="J165:J176"/>
    <mergeCell ref="K165:K176"/>
    <mergeCell ref="S165:S176"/>
    <mergeCell ref="D152:G163"/>
    <mergeCell ref="C152:C163"/>
    <mergeCell ref="C68:M68"/>
    <mergeCell ref="H152:H163"/>
    <mergeCell ref="I152:I163"/>
    <mergeCell ref="J152:J163"/>
    <mergeCell ref="K75:K78"/>
    <mergeCell ref="H75:H78"/>
    <mergeCell ref="C75:C78"/>
    <mergeCell ref="C134:C145"/>
    <mergeCell ref="C433:K433"/>
    <mergeCell ref="J331:J334"/>
    <mergeCell ref="I218:I221"/>
    <mergeCell ref="J218:J221"/>
    <mergeCell ref="J288:J291"/>
    <mergeCell ref="K331:K334"/>
    <mergeCell ref="I349:I352"/>
    <mergeCell ref="K223:K226"/>
    <mergeCell ref="J258:J261"/>
    <mergeCell ref="K258:K261"/>
    <mergeCell ref="L372:L375"/>
    <mergeCell ref="A364:A375"/>
    <mergeCell ref="A410:A413"/>
    <mergeCell ref="H331:H334"/>
    <mergeCell ref="I331:I334"/>
    <mergeCell ref="C364:C375"/>
    <mergeCell ref="D364:G375"/>
    <mergeCell ref="H364:H375"/>
    <mergeCell ref="C336:C339"/>
    <mergeCell ref="A349:A352"/>
    <mergeCell ref="D134:G145"/>
    <mergeCell ref="H134:H145"/>
    <mergeCell ref="I134:I145"/>
    <mergeCell ref="J134:J145"/>
    <mergeCell ref="K134:K145"/>
    <mergeCell ref="L134:L137"/>
    <mergeCell ref="S134:S145"/>
    <mergeCell ref="L138:L141"/>
    <mergeCell ref="L142:L145"/>
    <mergeCell ref="S354:S357"/>
    <mergeCell ref="C353:L353"/>
    <mergeCell ref="A354:A357"/>
    <mergeCell ref="C354:C357"/>
    <mergeCell ref="D354:G357"/>
    <mergeCell ref="H354:H357"/>
    <mergeCell ref="I354:I357"/>
    <mergeCell ref="J354:J357"/>
    <mergeCell ref="K354:K357"/>
    <mergeCell ref="L354:L357"/>
    <mergeCell ref="A405:A408"/>
    <mergeCell ref="C405:C408"/>
    <mergeCell ref="D405:G408"/>
    <mergeCell ref="H405:H408"/>
    <mergeCell ref="S405:S408"/>
    <mergeCell ref="I405:I408"/>
    <mergeCell ref="J405:J408"/>
    <mergeCell ref="K405:K408"/>
    <mergeCell ref="L405:L408"/>
  </mergeCells>
  <printOptions horizontalCentered="1"/>
  <pageMargins left="0.54" right="0.4724409448818898" top="0.49" bottom="0.6" header="0.33" footer="0.44"/>
  <pageSetup horizontalDpi="600" verticalDpi="600" orientation="landscape" paperSize="9" scale="59" r:id="rId1"/>
  <rowBreaks count="8" manualBreakCount="8">
    <brk id="50" min="2" max="18" man="1"/>
    <brk id="95" min="2" max="18" man="1"/>
    <brk id="145" min="2" max="18" man="1"/>
    <brk id="196" min="2" max="18" man="1"/>
    <brk id="271" min="2" max="18" man="1"/>
    <brk id="312" min="2" max="18" man="1"/>
    <brk id="352" min="2" max="18" man="1"/>
    <brk id="446" min="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27"/>
  <sheetViews>
    <sheetView view="pageBreakPreview" zoomScale="65" zoomScaleNormal="65" zoomScaleSheetLayoutView="65" workbookViewId="0" topLeftCell="B164">
      <selection activeCell="D165" sqref="D165:G165"/>
    </sheetView>
  </sheetViews>
  <sheetFormatPr defaultColWidth="9.140625" defaultRowHeight="15" customHeight="1"/>
  <cols>
    <col min="1" max="1" width="14.00390625" style="474" hidden="1" customWidth="1"/>
    <col min="2" max="2" width="9.140625" style="481" customWidth="1"/>
    <col min="3" max="3" width="6.7109375" style="474" customWidth="1"/>
    <col min="4" max="6" width="9.140625" style="474" customWidth="1"/>
    <col min="7" max="7" width="16.57421875" style="474" customWidth="1"/>
    <col min="8" max="8" width="16.28125" style="474" customWidth="1"/>
    <col min="9" max="9" width="11.57421875" style="474" customWidth="1"/>
    <col min="10" max="10" width="16.8515625" style="474" customWidth="1"/>
    <col min="11" max="11" width="11.00390625" style="474" customWidth="1"/>
    <col min="12" max="13" width="15.00390625" style="474" bestFit="1" customWidth="1"/>
    <col min="14" max="14" width="14.57421875" style="474" bestFit="1" customWidth="1"/>
    <col min="15" max="15" width="15.140625" style="474" bestFit="1" customWidth="1"/>
    <col min="16" max="16" width="15.00390625" style="474" bestFit="1" customWidth="1"/>
    <col min="17" max="17" width="15.140625" style="474" bestFit="1" customWidth="1"/>
    <col min="18" max="19" width="13.8515625" style="474" bestFit="1" customWidth="1"/>
    <col min="20" max="20" width="14.28125" style="503" customWidth="1"/>
    <col min="21" max="16384" width="9.140625" style="474" customWidth="1"/>
  </cols>
  <sheetData>
    <row r="1" spans="1:20" s="441" customFormat="1" ht="15" customHeight="1">
      <c r="A1" s="1"/>
      <c r="B1" s="2"/>
      <c r="C1" s="237" t="s">
        <v>438</v>
      </c>
      <c r="T1" s="484"/>
    </row>
    <row r="2" spans="2:20" s="441" customFormat="1" ht="15" customHeight="1" thickBot="1">
      <c r="B2" s="472"/>
      <c r="T2" s="484"/>
    </row>
    <row r="3" spans="1:20" ht="25.5" customHeight="1">
      <c r="A3" s="563" t="s">
        <v>278</v>
      </c>
      <c r="B3" s="4"/>
      <c r="C3" s="601" t="s">
        <v>279</v>
      </c>
      <c r="D3" s="602"/>
      <c r="E3" s="602"/>
      <c r="F3" s="602"/>
      <c r="G3" s="603"/>
      <c r="H3" s="631" t="s">
        <v>281</v>
      </c>
      <c r="I3" s="624" t="s">
        <v>282</v>
      </c>
      <c r="J3" s="631" t="s">
        <v>283</v>
      </c>
      <c r="K3" s="624" t="s">
        <v>284</v>
      </c>
      <c r="L3" s="622" t="s">
        <v>286</v>
      </c>
      <c r="M3" s="623"/>
      <c r="N3" s="623"/>
      <c r="O3" s="623"/>
      <c r="P3" s="623"/>
      <c r="Q3" s="623"/>
      <c r="R3" s="623"/>
      <c r="S3" s="623"/>
      <c r="T3" s="633" t="s">
        <v>287</v>
      </c>
    </row>
    <row r="4" spans="1:20" ht="25.5" customHeight="1" thickBot="1">
      <c r="A4" s="564"/>
      <c r="B4" s="4"/>
      <c r="C4" s="604"/>
      <c r="D4" s="605"/>
      <c r="E4" s="605"/>
      <c r="F4" s="605"/>
      <c r="G4" s="606"/>
      <c r="H4" s="632"/>
      <c r="I4" s="625"/>
      <c r="J4" s="632"/>
      <c r="K4" s="625"/>
      <c r="L4" s="6">
        <v>2011</v>
      </c>
      <c r="M4" s="7">
        <v>2012</v>
      </c>
      <c r="N4" s="7">
        <v>2013</v>
      </c>
      <c r="O4" s="7">
        <v>2014</v>
      </c>
      <c r="P4" s="7">
        <v>2015</v>
      </c>
      <c r="Q4" s="7">
        <v>2016</v>
      </c>
      <c r="R4" s="7">
        <v>2017</v>
      </c>
      <c r="S4" s="42">
        <v>2018</v>
      </c>
      <c r="T4" s="634"/>
    </row>
    <row r="5" spans="1:20" s="195" customFormat="1" ht="20.25" customHeight="1" thickBot="1">
      <c r="A5" s="189"/>
      <c r="B5" s="190"/>
      <c r="C5" s="459" t="s">
        <v>288</v>
      </c>
      <c r="D5" s="455"/>
      <c r="E5" s="455"/>
      <c r="F5" s="455"/>
      <c r="G5" s="455"/>
      <c r="H5" s="455"/>
      <c r="I5" s="455"/>
      <c r="J5" s="455"/>
      <c r="K5" s="455"/>
      <c r="L5" s="189"/>
      <c r="M5" s="192"/>
      <c r="N5" s="193"/>
      <c r="O5" s="193"/>
      <c r="P5" s="193"/>
      <c r="Q5" s="193"/>
      <c r="R5" s="193"/>
      <c r="S5" s="193"/>
      <c r="T5" s="241"/>
    </row>
    <row r="6" spans="1:21" s="140" customFormat="1" ht="18.75" customHeight="1" thickBot="1">
      <c r="A6" s="485"/>
      <c r="B6" s="141"/>
      <c r="C6" s="197" t="s">
        <v>523</v>
      </c>
      <c r="D6" s="120"/>
      <c r="E6" s="120"/>
      <c r="F6" s="120"/>
      <c r="G6" s="120"/>
      <c r="H6" s="120"/>
      <c r="I6" s="120"/>
      <c r="J6" s="349"/>
      <c r="K6" s="144"/>
      <c r="L6" s="120"/>
      <c r="M6" s="120"/>
      <c r="N6" s="120"/>
      <c r="O6" s="120"/>
      <c r="P6" s="120"/>
      <c r="Q6" s="120"/>
      <c r="R6" s="120"/>
      <c r="S6" s="186"/>
      <c r="T6" s="714">
        <v>102514400</v>
      </c>
      <c r="U6" s="121"/>
    </row>
    <row r="7" spans="1:21" s="140" customFormat="1" ht="77.25" customHeight="1" thickBot="1">
      <c r="A7" s="485"/>
      <c r="B7" s="43"/>
      <c r="C7" s="145"/>
      <c r="D7" s="734" t="s">
        <v>558</v>
      </c>
      <c r="E7" s="734"/>
      <c r="F7" s="734"/>
      <c r="G7" s="735"/>
      <c r="H7" s="157" t="s">
        <v>549</v>
      </c>
      <c r="I7" s="147" t="s">
        <v>480</v>
      </c>
      <c r="J7" s="371">
        <v>102514400</v>
      </c>
      <c r="K7" s="146" t="s">
        <v>302</v>
      </c>
      <c r="L7" s="108">
        <v>6019800</v>
      </c>
      <c r="M7" s="109">
        <v>9491400</v>
      </c>
      <c r="N7" s="109">
        <v>32711400</v>
      </c>
      <c r="O7" s="109">
        <v>54291800</v>
      </c>
      <c r="P7" s="109"/>
      <c r="Q7" s="109"/>
      <c r="R7" s="109"/>
      <c r="S7" s="109"/>
      <c r="T7" s="715"/>
      <c r="U7" s="121"/>
    </row>
    <row r="8" spans="1:21" s="140" customFormat="1" ht="21.75" customHeight="1" thickBot="1">
      <c r="A8" s="712"/>
      <c r="B8" s="141"/>
      <c r="C8" s="197" t="s">
        <v>6</v>
      </c>
      <c r="D8" s="197"/>
      <c r="E8" s="197"/>
      <c r="F8" s="197"/>
      <c r="G8" s="197"/>
      <c r="H8" s="197"/>
      <c r="I8" s="197"/>
      <c r="J8" s="372"/>
      <c r="K8" s="120"/>
      <c r="L8" s="120"/>
      <c r="M8" s="120"/>
      <c r="N8" s="120"/>
      <c r="O8" s="120"/>
      <c r="P8" s="120"/>
      <c r="Q8" s="120"/>
      <c r="R8" s="120"/>
      <c r="S8" s="120"/>
      <c r="T8" s="714">
        <v>18500000</v>
      </c>
      <c r="U8" s="121"/>
    </row>
    <row r="9" spans="1:21" s="140" customFormat="1" ht="45.75" customHeight="1" thickBot="1">
      <c r="A9" s="713"/>
      <c r="B9" s="43"/>
      <c r="C9" s="145"/>
      <c r="D9" s="734" t="s">
        <v>7</v>
      </c>
      <c r="E9" s="734"/>
      <c r="F9" s="734"/>
      <c r="G9" s="735"/>
      <c r="H9" s="157" t="s">
        <v>55</v>
      </c>
      <c r="I9" s="147" t="s">
        <v>148</v>
      </c>
      <c r="J9" s="371">
        <f>150109000-11500000</f>
        <v>138609000</v>
      </c>
      <c r="K9" s="115" t="s">
        <v>302</v>
      </c>
      <c r="L9" s="448">
        <f>45690000-11500000</f>
        <v>34190000</v>
      </c>
      <c r="M9" s="448">
        <v>57000000</v>
      </c>
      <c r="N9" s="109"/>
      <c r="O9" s="109"/>
      <c r="P9" s="109"/>
      <c r="Q9" s="109"/>
      <c r="R9" s="109"/>
      <c r="S9" s="109"/>
      <c r="T9" s="715"/>
      <c r="U9" s="121"/>
    </row>
    <row r="10" spans="1:21" s="140" customFormat="1" ht="21.75" customHeight="1" thickBot="1">
      <c r="A10" s="712"/>
      <c r="B10" s="141"/>
      <c r="C10" s="197" t="s">
        <v>8</v>
      </c>
      <c r="D10" s="197"/>
      <c r="E10" s="197"/>
      <c r="F10" s="197"/>
      <c r="G10" s="197"/>
      <c r="H10" s="197"/>
      <c r="I10" s="197"/>
      <c r="J10" s="372"/>
      <c r="K10" s="120"/>
      <c r="L10" s="349"/>
      <c r="M10" s="349"/>
      <c r="N10" s="120"/>
      <c r="O10" s="120"/>
      <c r="P10" s="120"/>
      <c r="Q10" s="120"/>
      <c r="R10" s="120"/>
      <c r="S10" s="120"/>
      <c r="T10" s="714">
        <f>SUM(L11)</f>
        <v>46500000</v>
      </c>
      <c r="U10" s="121"/>
    </row>
    <row r="11" spans="1:21" s="140" customFormat="1" ht="78" customHeight="1" thickBot="1">
      <c r="A11" s="713"/>
      <c r="B11" s="43"/>
      <c r="C11" s="145"/>
      <c r="D11" s="734" t="s">
        <v>9</v>
      </c>
      <c r="E11" s="734"/>
      <c r="F11" s="734"/>
      <c r="G11" s="735"/>
      <c r="H11" s="157" t="s">
        <v>56</v>
      </c>
      <c r="I11" s="147" t="s">
        <v>347</v>
      </c>
      <c r="J11" s="371">
        <v>50500000</v>
      </c>
      <c r="K11" s="115" t="s">
        <v>302</v>
      </c>
      <c r="L11" s="350">
        <v>46500000</v>
      </c>
      <c r="M11" s="109"/>
      <c r="N11" s="109"/>
      <c r="O11" s="109"/>
      <c r="P11" s="109"/>
      <c r="Q11" s="109"/>
      <c r="R11" s="109"/>
      <c r="S11" s="109"/>
      <c r="T11" s="715"/>
      <c r="U11" s="121"/>
    </row>
    <row r="12" spans="1:21" s="140" customFormat="1" ht="21.75" customHeight="1" thickBot="1">
      <c r="A12" s="712"/>
      <c r="B12" s="141"/>
      <c r="C12" s="197" t="s">
        <v>10</v>
      </c>
      <c r="D12" s="120"/>
      <c r="E12" s="120"/>
      <c r="F12" s="120"/>
      <c r="G12" s="120"/>
      <c r="H12" s="120"/>
      <c r="I12" s="120"/>
      <c r="J12" s="349"/>
      <c r="K12" s="120"/>
      <c r="L12" s="349"/>
      <c r="M12" s="349"/>
      <c r="N12" s="120"/>
      <c r="O12" s="120"/>
      <c r="P12" s="120"/>
      <c r="Q12" s="120"/>
      <c r="R12" s="120"/>
      <c r="S12" s="120"/>
      <c r="T12" s="714">
        <v>48000000</v>
      </c>
      <c r="U12" s="121"/>
    </row>
    <row r="13" spans="1:21" s="140" customFormat="1" ht="97.5" customHeight="1" thickBot="1">
      <c r="A13" s="713"/>
      <c r="B13" s="43"/>
      <c r="C13" s="114"/>
      <c r="D13" s="736" t="s">
        <v>11</v>
      </c>
      <c r="E13" s="716"/>
      <c r="F13" s="716"/>
      <c r="G13" s="717"/>
      <c r="H13" s="157" t="s">
        <v>57</v>
      </c>
      <c r="I13" s="147" t="s">
        <v>306</v>
      </c>
      <c r="J13" s="371">
        <v>49499100</v>
      </c>
      <c r="K13" s="115" t="s">
        <v>302</v>
      </c>
      <c r="L13" s="350">
        <v>30000000</v>
      </c>
      <c r="M13" s="350">
        <v>18000000</v>
      </c>
      <c r="N13" s="109"/>
      <c r="O13" s="109"/>
      <c r="P13" s="109"/>
      <c r="Q13" s="109"/>
      <c r="R13" s="109"/>
      <c r="S13" s="109"/>
      <c r="T13" s="715"/>
      <c r="U13" s="121"/>
    </row>
    <row r="14" spans="1:21" s="140" customFormat="1" ht="21.75" customHeight="1" thickBot="1">
      <c r="A14" s="712"/>
      <c r="B14" s="141"/>
      <c r="C14" s="197" t="s">
        <v>34</v>
      </c>
      <c r="D14" s="120"/>
      <c r="E14" s="120"/>
      <c r="F14" s="120"/>
      <c r="G14" s="120"/>
      <c r="H14" s="120"/>
      <c r="I14" s="120"/>
      <c r="J14" s="349"/>
      <c r="K14" s="120"/>
      <c r="L14" s="349"/>
      <c r="M14" s="349"/>
      <c r="N14" s="120"/>
      <c r="O14" s="120"/>
      <c r="P14" s="120"/>
      <c r="Q14" s="120"/>
      <c r="R14" s="120"/>
      <c r="S14" s="120"/>
      <c r="T14" s="714">
        <v>0</v>
      </c>
      <c r="U14" s="121"/>
    </row>
    <row r="15" spans="1:21" s="140" customFormat="1" ht="62.25" customHeight="1" thickBot="1">
      <c r="A15" s="713"/>
      <c r="B15" s="43"/>
      <c r="C15" s="150"/>
      <c r="D15" s="740" t="s">
        <v>12</v>
      </c>
      <c r="E15" s="741"/>
      <c r="F15" s="741"/>
      <c r="G15" s="742"/>
      <c r="H15" s="157" t="s">
        <v>58</v>
      </c>
      <c r="I15" s="147" t="s">
        <v>318</v>
      </c>
      <c r="J15" s="371">
        <v>5456900</v>
      </c>
      <c r="K15" s="147" t="s">
        <v>302</v>
      </c>
      <c r="L15" s="351">
        <v>4956900</v>
      </c>
      <c r="M15" s="131"/>
      <c r="N15" s="131"/>
      <c r="O15" s="131"/>
      <c r="P15" s="131"/>
      <c r="Q15" s="131"/>
      <c r="R15" s="131"/>
      <c r="S15" s="132"/>
      <c r="T15" s="715"/>
      <c r="U15" s="121"/>
    </row>
    <row r="16" spans="1:21" s="140" customFormat="1" ht="21.75" customHeight="1" thickBot="1">
      <c r="A16" s="712"/>
      <c r="B16" s="141"/>
      <c r="C16" s="197" t="s">
        <v>13</v>
      </c>
      <c r="D16" s="148"/>
      <c r="E16" s="148"/>
      <c r="F16" s="148"/>
      <c r="G16" s="148"/>
      <c r="H16" s="148"/>
      <c r="I16" s="148"/>
      <c r="J16" s="373"/>
      <c r="K16" s="148"/>
      <c r="L16" s="148"/>
      <c r="M16" s="148"/>
      <c r="N16" s="148"/>
      <c r="O16" s="148"/>
      <c r="P16" s="148"/>
      <c r="Q16" s="148"/>
      <c r="R16" s="149"/>
      <c r="S16" s="149"/>
      <c r="T16" s="714">
        <v>768070</v>
      </c>
      <c r="U16" s="121"/>
    </row>
    <row r="17" spans="1:21" s="140" customFormat="1" ht="49.5" customHeight="1" thickBot="1">
      <c r="A17" s="713"/>
      <c r="B17" s="43"/>
      <c r="C17" s="150"/>
      <c r="D17" s="741" t="s">
        <v>14</v>
      </c>
      <c r="E17" s="741"/>
      <c r="F17" s="741"/>
      <c r="G17" s="742"/>
      <c r="H17" s="157" t="s">
        <v>59</v>
      </c>
      <c r="I17" s="147" t="s">
        <v>15</v>
      </c>
      <c r="J17" s="371">
        <v>93900000</v>
      </c>
      <c r="K17" s="147" t="s">
        <v>302</v>
      </c>
      <c r="L17" s="351">
        <v>1540000</v>
      </c>
      <c r="M17" s="351">
        <v>700000</v>
      </c>
      <c r="N17" s="351"/>
      <c r="O17" s="352">
        <v>20000000</v>
      </c>
      <c r="P17" s="353">
        <v>29000000</v>
      </c>
      <c r="Q17" s="351">
        <v>42600000</v>
      </c>
      <c r="R17" s="109"/>
      <c r="S17" s="109"/>
      <c r="T17" s="715"/>
      <c r="U17" s="121"/>
    </row>
    <row r="18" spans="1:21" s="140" customFormat="1" ht="21.75" customHeight="1" thickBot="1">
      <c r="A18" s="712"/>
      <c r="B18" s="141"/>
      <c r="C18" s="197" t="s">
        <v>16</v>
      </c>
      <c r="D18" s="197"/>
      <c r="E18" s="197"/>
      <c r="F18" s="197"/>
      <c r="G18" s="197"/>
      <c r="H18" s="120"/>
      <c r="I18" s="120"/>
      <c r="J18" s="349"/>
      <c r="K18" s="120"/>
      <c r="L18" s="349"/>
      <c r="M18" s="349"/>
      <c r="N18" s="349"/>
      <c r="O18" s="349"/>
      <c r="P18" s="349"/>
      <c r="Q18" s="349"/>
      <c r="R18" s="120"/>
      <c r="S18" s="120"/>
      <c r="T18" s="714">
        <v>23500000</v>
      </c>
      <c r="U18" s="121"/>
    </row>
    <row r="19" spans="1:21" s="140" customFormat="1" ht="50.25" customHeight="1" thickBot="1">
      <c r="A19" s="713"/>
      <c r="B19" s="43"/>
      <c r="C19" s="162"/>
      <c r="D19" s="730" t="s">
        <v>17</v>
      </c>
      <c r="E19" s="730"/>
      <c r="F19" s="730"/>
      <c r="G19" s="731"/>
      <c r="H19" s="157" t="s">
        <v>60</v>
      </c>
      <c r="I19" s="147" t="s">
        <v>296</v>
      </c>
      <c r="J19" s="371">
        <v>24150000</v>
      </c>
      <c r="K19" s="163" t="s">
        <v>302</v>
      </c>
      <c r="L19" s="354">
        <v>10000000</v>
      </c>
      <c r="M19" s="355">
        <v>13500000</v>
      </c>
      <c r="N19" s="238"/>
      <c r="O19" s="238"/>
      <c r="P19" s="238"/>
      <c r="Q19" s="238"/>
      <c r="R19" s="238"/>
      <c r="S19" s="238"/>
      <c r="T19" s="715"/>
      <c r="U19" s="121"/>
    </row>
    <row r="20" spans="1:21" s="140" customFormat="1" ht="21.75" customHeight="1" thickBot="1">
      <c r="A20" s="712"/>
      <c r="B20" s="141"/>
      <c r="C20" s="197" t="s">
        <v>18</v>
      </c>
      <c r="D20" s="188"/>
      <c r="E20" s="120"/>
      <c r="F20" s="120"/>
      <c r="G20" s="120"/>
      <c r="H20" s="120"/>
      <c r="I20" s="120"/>
      <c r="J20" s="349"/>
      <c r="K20" s="120"/>
      <c r="L20" s="120"/>
      <c r="M20" s="120"/>
      <c r="N20" s="120"/>
      <c r="O20" s="120"/>
      <c r="P20" s="120"/>
      <c r="Q20" s="120"/>
      <c r="R20" s="120"/>
      <c r="S20" s="120"/>
      <c r="T20" s="714">
        <v>1000000</v>
      </c>
      <c r="U20" s="121"/>
    </row>
    <row r="21" spans="1:21" s="140" customFormat="1" ht="86.25" customHeight="1" thickBot="1">
      <c r="A21" s="713"/>
      <c r="B21" s="43"/>
      <c r="C21" s="162"/>
      <c r="D21" s="730" t="s">
        <v>19</v>
      </c>
      <c r="E21" s="730"/>
      <c r="F21" s="730"/>
      <c r="G21" s="731"/>
      <c r="H21" s="157" t="s">
        <v>61</v>
      </c>
      <c r="I21" s="147" t="s">
        <v>149</v>
      </c>
      <c r="J21" s="371">
        <v>153500758</v>
      </c>
      <c r="K21" s="163" t="s">
        <v>302</v>
      </c>
      <c r="L21" s="354">
        <v>1000000</v>
      </c>
      <c r="M21" s="299"/>
      <c r="N21" s="299"/>
      <c r="O21" s="299"/>
      <c r="P21" s="299"/>
      <c r="Q21" s="101">
        <v>54000000</v>
      </c>
      <c r="R21" s="101">
        <v>47500000</v>
      </c>
      <c r="S21" s="101">
        <v>47500000</v>
      </c>
      <c r="T21" s="715"/>
      <c r="U21" s="121"/>
    </row>
    <row r="22" spans="1:21" s="140" customFormat="1" ht="21.75" customHeight="1" thickBot="1">
      <c r="A22" s="712"/>
      <c r="B22" s="141"/>
      <c r="C22" s="380" t="s">
        <v>20</v>
      </c>
      <c r="D22" s="149"/>
      <c r="E22" s="149"/>
      <c r="F22" s="149"/>
      <c r="G22" s="149"/>
      <c r="H22" s="149"/>
      <c r="I22" s="149"/>
      <c r="J22" s="384"/>
      <c r="K22" s="149"/>
      <c r="L22" s="149"/>
      <c r="M22" s="149"/>
      <c r="N22" s="149"/>
      <c r="O22" s="149"/>
      <c r="P22" s="149"/>
      <c r="Q22" s="149"/>
      <c r="R22" s="149"/>
      <c r="S22" s="149"/>
      <c r="T22" s="575">
        <v>500000</v>
      </c>
      <c r="U22" s="121"/>
    </row>
    <row r="23" spans="1:21" s="140" customFormat="1" ht="45" customHeight="1" thickBot="1">
      <c r="A23" s="713"/>
      <c r="B23" s="43"/>
      <c r="C23" s="152"/>
      <c r="D23" s="769" t="s">
        <v>21</v>
      </c>
      <c r="E23" s="770"/>
      <c r="F23" s="770"/>
      <c r="G23" s="771"/>
      <c r="H23" s="157" t="s">
        <v>62</v>
      </c>
      <c r="I23" s="147" t="s">
        <v>22</v>
      </c>
      <c r="J23" s="371">
        <v>67676800</v>
      </c>
      <c r="K23" s="153" t="s">
        <v>302</v>
      </c>
      <c r="L23" s="356">
        <v>500000</v>
      </c>
      <c r="M23" s="112"/>
      <c r="N23" s="112"/>
      <c r="O23" s="112"/>
      <c r="P23" s="112"/>
      <c r="Q23" s="58">
        <v>20000000</v>
      </c>
      <c r="R23" s="58">
        <v>30000000</v>
      </c>
      <c r="S23" s="357">
        <v>16676800</v>
      </c>
      <c r="T23" s="715"/>
      <c r="U23" s="121"/>
    </row>
    <row r="24" spans="1:21" s="140" customFormat="1" ht="21.75" customHeight="1" thickBot="1">
      <c r="A24" s="712"/>
      <c r="B24" s="141"/>
      <c r="C24" s="197" t="s">
        <v>23</v>
      </c>
      <c r="D24" s="120"/>
      <c r="E24" s="120"/>
      <c r="F24" s="120"/>
      <c r="G24" s="120"/>
      <c r="H24" s="120"/>
      <c r="I24" s="120"/>
      <c r="J24" s="349"/>
      <c r="K24" s="120"/>
      <c r="L24" s="120"/>
      <c r="M24" s="120"/>
      <c r="N24" s="120"/>
      <c r="O24" s="120"/>
      <c r="P24" s="120"/>
      <c r="Q24" s="120"/>
      <c r="R24" s="120"/>
      <c r="S24" s="120"/>
      <c r="T24" s="714">
        <v>8000000</v>
      </c>
      <c r="U24" s="121"/>
    </row>
    <row r="25" spans="1:21" s="140" customFormat="1" ht="87" customHeight="1" thickBot="1">
      <c r="A25" s="713"/>
      <c r="B25" s="43"/>
      <c r="C25" s="114"/>
      <c r="D25" s="736" t="s">
        <v>24</v>
      </c>
      <c r="E25" s="716"/>
      <c r="F25" s="716"/>
      <c r="G25" s="717"/>
      <c r="H25" s="157" t="s">
        <v>63</v>
      </c>
      <c r="I25" s="147" t="s">
        <v>150</v>
      </c>
      <c r="J25" s="371">
        <v>90000000</v>
      </c>
      <c r="K25" s="115" t="s">
        <v>302</v>
      </c>
      <c r="L25" s="160"/>
      <c r="M25" s="358">
        <v>3000000</v>
      </c>
      <c r="N25" s="358">
        <v>5000000</v>
      </c>
      <c r="O25" s="358">
        <v>30000000</v>
      </c>
      <c r="P25" s="358">
        <v>30000000</v>
      </c>
      <c r="Q25" s="288">
        <v>22000000</v>
      </c>
      <c r="R25" s="109"/>
      <c r="S25" s="109"/>
      <c r="T25" s="715"/>
      <c r="U25" s="121"/>
    </row>
    <row r="26" spans="1:21" s="140" customFormat="1" ht="21.75" customHeight="1" thickBot="1">
      <c r="A26" s="712"/>
      <c r="B26" s="141"/>
      <c r="C26" s="197" t="s">
        <v>25</v>
      </c>
      <c r="D26" s="120"/>
      <c r="E26" s="120"/>
      <c r="F26" s="120"/>
      <c r="G26" s="120"/>
      <c r="H26" s="154"/>
      <c r="I26" s="155"/>
      <c r="J26" s="374"/>
      <c r="K26" s="120"/>
      <c r="L26" s="120"/>
      <c r="M26" s="120"/>
      <c r="N26" s="120"/>
      <c r="O26" s="120"/>
      <c r="P26" s="120"/>
      <c r="Q26" s="120"/>
      <c r="R26" s="120"/>
      <c r="S26" s="120"/>
      <c r="T26" s="714">
        <v>52840</v>
      </c>
      <c r="U26" s="121"/>
    </row>
    <row r="27" spans="1:21" s="140" customFormat="1" ht="40.5" customHeight="1" thickBot="1">
      <c r="A27" s="713"/>
      <c r="B27" s="43"/>
      <c r="C27" s="114"/>
      <c r="D27" s="716" t="s">
        <v>26</v>
      </c>
      <c r="E27" s="716"/>
      <c r="F27" s="716"/>
      <c r="G27" s="717"/>
      <c r="H27" s="157" t="s">
        <v>64</v>
      </c>
      <c r="I27" s="147" t="s">
        <v>332</v>
      </c>
      <c r="J27" s="371">
        <v>1500000</v>
      </c>
      <c r="K27" s="115" t="s">
        <v>302</v>
      </c>
      <c r="L27" s="350">
        <v>1368000</v>
      </c>
      <c r="M27" s="109"/>
      <c r="N27" s="109"/>
      <c r="O27" s="109"/>
      <c r="P27" s="109"/>
      <c r="Q27" s="109"/>
      <c r="R27" s="109"/>
      <c r="S27" s="109"/>
      <c r="T27" s="715"/>
      <c r="U27" s="121"/>
    </row>
    <row r="28" spans="1:21" s="140" customFormat="1" ht="21.75" customHeight="1" thickBot="1">
      <c r="A28" s="712"/>
      <c r="B28" s="141"/>
      <c r="C28" s="197" t="s">
        <v>27</v>
      </c>
      <c r="D28" s="120"/>
      <c r="E28" s="120"/>
      <c r="F28" s="120"/>
      <c r="G28" s="120"/>
      <c r="H28" s="120"/>
      <c r="I28" s="120"/>
      <c r="J28" s="349"/>
      <c r="K28" s="120"/>
      <c r="L28" s="120"/>
      <c r="M28" s="120"/>
      <c r="N28" s="120"/>
      <c r="O28" s="120"/>
      <c r="P28" s="120"/>
      <c r="Q28" s="120"/>
      <c r="R28" s="120"/>
      <c r="S28" s="120"/>
      <c r="T28" s="714">
        <v>666740</v>
      </c>
      <c r="U28" s="121"/>
    </row>
    <row r="29" spans="1:21" s="140" customFormat="1" ht="45" customHeight="1" thickBot="1">
      <c r="A29" s="713"/>
      <c r="B29" s="43"/>
      <c r="C29" s="114"/>
      <c r="D29" s="736" t="s">
        <v>28</v>
      </c>
      <c r="E29" s="716"/>
      <c r="F29" s="716"/>
      <c r="G29" s="717"/>
      <c r="H29" s="157" t="s">
        <v>65</v>
      </c>
      <c r="I29" s="147" t="s">
        <v>347</v>
      </c>
      <c r="J29" s="371">
        <v>1600000</v>
      </c>
      <c r="K29" s="115" t="s">
        <v>302</v>
      </c>
      <c r="L29" s="358">
        <v>1500000</v>
      </c>
      <c r="M29" s="24"/>
      <c r="N29" s="24"/>
      <c r="O29" s="24"/>
      <c r="P29" s="24"/>
      <c r="Q29" s="109"/>
      <c r="R29" s="109"/>
      <c r="S29" s="109"/>
      <c r="T29" s="715"/>
      <c r="U29" s="121"/>
    </row>
    <row r="30" spans="1:21" s="140" customFormat="1" ht="21.75" customHeight="1" thickBot="1">
      <c r="A30" s="712"/>
      <c r="B30" s="141"/>
      <c r="C30" s="197" t="s">
        <v>29</v>
      </c>
      <c r="D30" s="120"/>
      <c r="E30" s="120"/>
      <c r="F30" s="120"/>
      <c r="G30" s="120"/>
      <c r="H30" s="120"/>
      <c r="I30" s="120"/>
      <c r="J30" s="349"/>
      <c r="K30" s="120"/>
      <c r="L30" s="120"/>
      <c r="M30" s="120"/>
      <c r="N30" s="120"/>
      <c r="O30" s="120"/>
      <c r="P30" s="120"/>
      <c r="Q30" s="120"/>
      <c r="R30" s="120"/>
      <c r="S30" s="120"/>
      <c r="T30" s="714">
        <v>6000000</v>
      </c>
      <c r="U30" s="121"/>
    </row>
    <row r="31" spans="1:21" s="140" customFormat="1" ht="63.75" customHeight="1" thickBot="1">
      <c r="A31" s="713"/>
      <c r="B31" s="43"/>
      <c r="C31" s="114"/>
      <c r="D31" s="716" t="s">
        <v>165</v>
      </c>
      <c r="E31" s="716"/>
      <c r="F31" s="716"/>
      <c r="G31" s="717"/>
      <c r="H31" s="157" t="s">
        <v>66</v>
      </c>
      <c r="I31" s="147" t="s">
        <v>30</v>
      </c>
      <c r="J31" s="371">
        <f>85866100+100000</f>
        <v>85966100</v>
      </c>
      <c r="K31" s="115" t="s">
        <v>302</v>
      </c>
      <c r="L31" s="348">
        <v>3100000</v>
      </c>
      <c r="M31" s="348">
        <v>12000000</v>
      </c>
      <c r="N31" s="348">
        <v>16000000</v>
      </c>
      <c r="O31" s="348">
        <v>33000000</v>
      </c>
      <c r="P31" s="348">
        <v>11000000</v>
      </c>
      <c r="Q31" s="109"/>
      <c r="R31" s="109"/>
      <c r="S31" s="109"/>
      <c r="T31" s="715"/>
      <c r="U31" s="121"/>
    </row>
    <row r="32" spans="1:21" s="140" customFormat="1" ht="21.75" customHeight="1" thickBot="1">
      <c r="A32" s="712"/>
      <c r="B32" s="141"/>
      <c r="C32" s="197" t="s">
        <v>31</v>
      </c>
      <c r="D32" s="120"/>
      <c r="E32" s="120"/>
      <c r="F32" s="120"/>
      <c r="G32" s="120"/>
      <c r="H32" s="120"/>
      <c r="I32" s="120"/>
      <c r="J32" s="349"/>
      <c r="K32" s="120"/>
      <c r="L32" s="120"/>
      <c r="M32" s="120"/>
      <c r="N32" s="120"/>
      <c r="O32" s="120"/>
      <c r="P32" s="120"/>
      <c r="Q32" s="120"/>
      <c r="R32" s="120"/>
      <c r="S32" s="120"/>
      <c r="T32" s="714">
        <v>0</v>
      </c>
      <c r="U32" s="121"/>
    </row>
    <row r="33" spans="1:21" s="140" customFormat="1" ht="95.25" customHeight="1" thickBot="1">
      <c r="A33" s="713"/>
      <c r="B33" s="43"/>
      <c r="C33" s="114"/>
      <c r="D33" s="736" t="s">
        <v>32</v>
      </c>
      <c r="E33" s="716"/>
      <c r="F33" s="716"/>
      <c r="G33" s="717"/>
      <c r="H33" s="157" t="s">
        <v>67</v>
      </c>
      <c r="I33" s="147" t="s">
        <v>33</v>
      </c>
      <c r="J33" s="371">
        <v>63333300</v>
      </c>
      <c r="K33" s="115" t="s">
        <v>302</v>
      </c>
      <c r="L33" s="187"/>
      <c r="M33" s="187"/>
      <c r="N33" s="348">
        <v>3200000</v>
      </c>
      <c r="O33" s="348">
        <v>45000000</v>
      </c>
      <c r="P33" s="348">
        <v>15133300</v>
      </c>
      <c r="Q33" s="109"/>
      <c r="R33" s="109"/>
      <c r="S33" s="109"/>
      <c r="T33" s="715"/>
      <c r="U33" s="121"/>
    </row>
    <row r="34" spans="1:21" s="140" customFormat="1" ht="21.75" customHeight="1" thickBot="1">
      <c r="A34" s="712"/>
      <c r="B34" s="141"/>
      <c r="C34" s="197" t="s">
        <v>160</v>
      </c>
      <c r="D34" s="120"/>
      <c r="E34" s="120"/>
      <c r="F34" s="120"/>
      <c r="G34" s="120"/>
      <c r="H34" s="120"/>
      <c r="I34" s="120"/>
      <c r="J34" s="349"/>
      <c r="K34" s="120"/>
      <c r="L34" s="349"/>
      <c r="M34" s="349"/>
      <c r="N34" s="349"/>
      <c r="O34" s="349"/>
      <c r="P34" s="349"/>
      <c r="Q34" s="120"/>
      <c r="R34" s="120"/>
      <c r="S34" s="120"/>
      <c r="T34" s="714">
        <v>17880000</v>
      </c>
      <c r="U34" s="121"/>
    </row>
    <row r="35" spans="1:21" s="140" customFormat="1" ht="58.5" customHeight="1" thickBot="1">
      <c r="A35" s="713"/>
      <c r="B35" s="43"/>
      <c r="C35" s="114"/>
      <c r="D35" s="736" t="s">
        <v>161</v>
      </c>
      <c r="E35" s="736"/>
      <c r="F35" s="736"/>
      <c r="G35" s="768"/>
      <c r="H35" s="157" t="s">
        <v>68</v>
      </c>
      <c r="I35" s="147" t="s">
        <v>480</v>
      </c>
      <c r="J35" s="371">
        <v>17880000</v>
      </c>
      <c r="K35" s="115" t="s">
        <v>302</v>
      </c>
      <c r="L35" s="359">
        <v>5000000</v>
      </c>
      <c r="M35" s="360">
        <v>5000000</v>
      </c>
      <c r="N35" s="360">
        <v>3500000</v>
      </c>
      <c r="O35" s="360">
        <v>4380000</v>
      </c>
      <c r="P35" s="360"/>
      <c r="Q35" s="109"/>
      <c r="R35" s="109"/>
      <c r="S35" s="109"/>
      <c r="T35" s="715"/>
      <c r="U35" s="121"/>
    </row>
    <row r="36" spans="1:21" s="140" customFormat="1" ht="21.75" customHeight="1" thickBot="1">
      <c r="A36" s="712"/>
      <c r="B36" s="141"/>
      <c r="C36" s="197" t="s">
        <v>162</v>
      </c>
      <c r="D36" s="120"/>
      <c r="E36" s="120"/>
      <c r="F36" s="120"/>
      <c r="G36" s="120"/>
      <c r="H36" s="120"/>
      <c r="I36" s="120"/>
      <c r="J36" s="349"/>
      <c r="K36" s="120"/>
      <c r="L36" s="349"/>
      <c r="M36" s="349"/>
      <c r="N36" s="349"/>
      <c r="O36" s="349"/>
      <c r="P36" s="349"/>
      <c r="Q36" s="120"/>
      <c r="R36" s="120"/>
      <c r="S36" s="120"/>
      <c r="T36" s="714">
        <v>3000000</v>
      </c>
      <c r="U36" s="121"/>
    </row>
    <row r="37" spans="1:21" s="140" customFormat="1" ht="48" customHeight="1" thickBot="1">
      <c r="A37" s="713"/>
      <c r="B37" s="43"/>
      <c r="C37" s="114"/>
      <c r="D37" s="736" t="s">
        <v>28</v>
      </c>
      <c r="E37" s="716"/>
      <c r="F37" s="716"/>
      <c r="G37" s="717"/>
      <c r="H37" s="157" t="s">
        <v>69</v>
      </c>
      <c r="I37" s="147" t="s">
        <v>318</v>
      </c>
      <c r="J37" s="371">
        <v>9421600</v>
      </c>
      <c r="K37" s="115" t="s">
        <v>302</v>
      </c>
      <c r="L37" s="33">
        <v>3000000</v>
      </c>
      <c r="M37" s="35"/>
      <c r="N37" s="35"/>
      <c r="O37" s="35"/>
      <c r="P37" s="35"/>
      <c r="Q37" s="109"/>
      <c r="R37" s="109"/>
      <c r="S37" s="109"/>
      <c r="T37" s="715"/>
      <c r="U37" s="121"/>
    </row>
    <row r="38" spans="1:21" s="140" customFormat="1" ht="21.75" customHeight="1" hidden="1" thickBot="1">
      <c r="A38" s="712"/>
      <c r="B38" s="141"/>
      <c r="C38" s="197" t="s">
        <v>572</v>
      </c>
      <c r="D38" s="120"/>
      <c r="E38" s="120"/>
      <c r="F38" s="120"/>
      <c r="G38" s="120"/>
      <c r="H38" s="120"/>
      <c r="I38" s="120"/>
      <c r="J38" s="349"/>
      <c r="K38" s="120"/>
      <c r="L38" s="349"/>
      <c r="M38" s="349"/>
      <c r="N38" s="349"/>
      <c r="O38" s="349"/>
      <c r="P38" s="349"/>
      <c r="Q38" s="120"/>
      <c r="R38" s="120"/>
      <c r="S38" s="120"/>
      <c r="T38" s="714">
        <f>SUM(L39:M39)</f>
        <v>0</v>
      </c>
      <c r="U38" s="121"/>
    </row>
    <row r="39" spans="1:21" s="140" customFormat="1" ht="55.5" customHeight="1" hidden="1" thickBot="1">
      <c r="A39" s="713"/>
      <c r="B39" s="43"/>
      <c r="C39" s="114"/>
      <c r="D39" s="734" t="s">
        <v>574</v>
      </c>
      <c r="E39" s="734"/>
      <c r="F39" s="734"/>
      <c r="G39" s="735"/>
      <c r="H39" s="157" t="s">
        <v>573</v>
      </c>
      <c r="I39" s="486">
        <v>2014</v>
      </c>
      <c r="J39" s="371">
        <v>1500000</v>
      </c>
      <c r="K39" s="115" t="s">
        <v>302</v>
      </c>
      <c r="L39" s="33"/>
      <c r="M39" s="35"/>
      <c r="N39" s="35"/>
      <c r="O39" s="35">
        <f>1500000-1500000</f>
        <v>0</v>
      </c>
      <c r="P39" s="35"/>
      <c r="Q39" s="109"/>
      <c r="R39" s="109"/>
      <c r="S39" s="109"/>
      <c r="T39" s="715"/>
      <c r="U39" s="121"/>
    </row>
    <row r="40" spans="1:21" s="140" customFormat="1" ht="21.75" customHeight="1" thickBot="1">
      <c r="A40" s="712"/>
      <c r="B40" s="141"/>
      <c r="C40" s="197" t="s">
        <v>163</v>
      </c>
      <c r="D40" s="120"/>
      <c r="E40" s="120"/>
      <c r="F40" s="120"/>
      <c r="G40" s="120"/>
      <c r="H40" s="120"/>
      <c r="I40" s="120"/>
      <c r="J40" s="349"/>
      <c r="K40" s="120"/>
      <c r="L40" s="349"/>
      <c r="M40" s="349"/>
      <c r="N40" s="349"/>
      <c r="O40" s="349"/>
      <c r="P40" s="349"/>
      <c r="Q40" s="120"/>
      <c r="R40" s="120"/>
      <c r="S40" s="120"/>
      <c r="T40" s="714">
        <v>1300000</v>
      </c>
      <c r="U40" s="121"/>
    </row>
    <row r="41" spans="1:21" s="140" customFormat="1" ht="55.5" customHeight="1" thickBot="1">
      <c r="A41" s="713"/>
      <c r="B41" s="43"/>
      <c r="C41" s="162"/>
      <c r="D41" s="730" t="s">
        <v>164</v>
      </c>
      <c r="E41" s="730"/>
      <c r="F41" s="730"/>
      <c r="G41" s="731"/>
      <c r="H41" s="157" t="s">
        <v>75</v>
      </c>
      <c r="I41" s="147" t="s">
        <v>327</v>
      </c>
      <c r="J41" s="371">
        <v>1300000</v>
      </c>
      <c r="K41" s="163" t="s">
        <v>302</v>
      </c>
      <c r="L41" s="100">
        <v>650000</v>
      </c>
      <c r="M41" s="101">
        <v>650000</v>
      </c>
      <c r="N41" s="101"/>
      <c r="O41" s="101"/>
      <c r="P41" s="101"/>
      <c r="Q41" s="238"/>
      <c r="R41" s="238"/>
      <c r="S41" s="238"/>
      <c r="T41" s="715"/>
      <c r="U41" s="121"/>
    </row>
    <row r="42" spans="1:21" s="140" customFormat="1" ht="21.75" customHeight="1" thickBot="1">
      <c r="A42" s="712"/>
      <c r="B42" s="141"/>
      <c r="C42" s="380" t="s">
        <v>570</v>
      </c>
      <c r="D42" s="149"/>
      <c r="E42" s="149"/>
      <c r="F42" s="149"/>
      <c r="G42" s="149"/>
      <c r="H42" s="149"/>
      <c r="I42" s="149"/>
      <c r="J42" s="384"/>
      <c r="K42" s="149"/>
      <c r="L42" s="384"/>
      <c r="M42" s="384"/>
      <c r="N42" s="384"/>
      <c r="O42" s="384"/>
      <c r="P42" s="384"/>
      <c r="Q42" s="149"/>
      <c r="R42" s="149"/>
      <c r="S42" s="149"/>
      <c r="T42" s="575">
        <f>SUM(L43:M43)</f>
        <v>34350000</v>
      </c>
      <c r="U42" s="121"/>
    </row>
    <row r="43" spans="1:21" s="140" customFormat="1" ht="76.5" customHeight="1" thickBot="1">
      <c r="A43" s="713"/>
      <c r="B43" s="43"/>
      <c r="C43" s="114"/>
      <c r="D43" s="734" t="s">
        <v>575</v>
      </c>
      <c r="E43" s="734"/>
      <c r="F43" s="734"/>
      <c r="G43" s="735"/>
      <c r="H43" s="157" t="s">
        <v>571</v>
      </c>
      <c r="I43" s="147" t="s">
        <v>148</v>
      </c>
      <c r="J43" s="371">
        <v>56750000</v>
      </c>
      <c r="K43" s="115" t="s">
        <v>302</v>
      </c>
      <c r="L43" s="33">
        <v>23400000</v>
      </c>
      <c r="M43" s="35">
        <v>10950000</v>
      </c>
      <c r="N43" s="35"/>
      <c r="O43" s="35"/>
      <c r="P43" s="35"/>
      <c r="Q43" s="109"/>
      <c r="R43" s="109"/>
      <c r="S43" s="109"/>
      <c r="T43" s="715"/>
      <c r="U43" s="121"/>
    </row>
    <row r="44" spans="3:20" s="481" customFormat="1" ht="26.25" customHeight="1" thickBot="1">
      <c r="C44" s="726" t="s">
        <v>182</v>
      </c>
      <c r="D44" s="727"/>
      <c r="E44" s="727"/>
      <c r="F44" s="727"/>
      <c r="G44" s="727"/>
      <c r="H44" s="727"/>
      <c r="I44" s="727"/>
      <c r="J44" s="727"/>
      <c r="K44" s="487"/>
      <c r="L44" s="488"/>
      <c r="M44" s="488"/>
      <c r="N44" s="488"/>
      <c r="O44" s="488"/>
      <c r="P44" s="488"/>
      <c r="Q44" s="488"/>
      <c r="R44" s="488"/>
      <c r="S44" s="488"/>
      <c r="T44" s="724">
        <f>L45+M45</f>
        <v>3000000</v>
      </c>
    </row>
    <row r="45" spans="3:20" s="481" customFormat="1" ht="56.25" customHeight="1" thickBot="1">
      <c r="C45" s="489"/>
      <c r="D45" s="722" t="s">
        <v>183</v>
      </c>
      <c r="E45" s="722"/>
      <c r="F45" s="722"/>
      <c r="G45" s="723"/>
      <c r="H45" s="490" t="s">
        <v>184</v>
      </c>
      <c r="I45" s="491" t="s">
        <v>185</v>
      </c>
      <c r="J45" s="492">
        <v>13908274</v>
      </c>
      <c r="K45" s="491" t="s">
        <v>302</v>
      </c>
      <c r="L45" s="451">
        <v>1000000</v>
      </c>
      <c r="M45" s="451">
        <v>2000000</v>
      </c>
      <c r="N45" s="451">
        <v>500000</v>
      </c>
      <c r="O45" s="451">
        <v>500000</v>
      </c>
      <c r="P45" s="451">
        <v>500000</v>
      </c>
      <c r="Q45" s="493"/>
      <c r="R45" s="238"/>
      <c r="S45" s="238"/>
      <c r="T45" s="725"/>
    </row>
    <row r="46" spans="2:20" s="481" customFormat="1" ht="32.25" customHeight="1" thickBot="1">
      <c r="B46" s="494"/>
      <c r="C46" s="726" t="s">
        <v>186</v>
      </c>
      <c r="D46" s="727"/>
      <c r="E46" s="727"/>
      <c r="F46" s="727"/>
      <c r="G46" s="727"/>
      <c r="H46" s="727"/>
      <c r="I46" s="727"/>
      <c r="J46" s="727"/>
      <c r="K46" s="487"/>
      <c r="L46" s="833"/>
      <c r="M46" s="488"/>
      <c r="N46" s="488"/>
      <c r="O46" s="488"/>
      <c r="P46" s="488"/>
      <c r="Q46" s="488"/>
      <c r="R46" s="488"/>
      <c r="S46" s="488"/>
      <c r="T46" s="724">
        <f>L47+M47+N47</f>
        <v>1300000</v>
      </c>
    </row>
    <row r="47" spans="2:20" s="481" customFormat="1" ht="59.25" customHeight="1" thickBot="1">
      <c r="B47" s="495"/>
      <c r="C47" s="496"/>
      <c r="D47" s="728" t="s">
        <v>187</v>
      </c>
      <c r="E47" s="728"/>
      <c r="F47" s="728"/>
      <c r="G47" s="729"/>
      <c r="H47" s="497" t="s">
        <v>188</v>
      </c>
      <c r="I47" s="497" t="s">
        <v>485</v>
      </c>
      <c r="J47" s="498">
        <v>2300000</v>
      </c>
      <c r="K47" s="497" t="s">
        <v>302</v>
      </c>
      <c r="L47" s="358">
        <v>300000</v>
      </c>
      <c r="M47" s="358">
        <v>500000</v>
      </c>
      <c r="N47" s="358">
        <v>500000</v>
      </c>
      <c r="O47" s="358">
        <v>500000</v>
      </c>
      <c r="P47" s="358">
        <v>500000</v>
      </c>
      <c r="Q47" s="288"/>
      <c r="R47" s="109"/>
      <c r="S47" s="109"/>
      <c r="T47" s="725"/>
    </row>
    <row r="48" spans="2:20" s="481" customFormat="1" ht="32.25" customHeight="1" thickBot="1">
      <c r="B48" s="494"/>
      <c r="C48" s="726" t="s">
        <v>189</v>
      </c>
      <c r="D48" s="727"/>
      <c r="E48" s="727"/>
      <c r="F48" s="727"/>
      <c r="G48" s="727"/>
      <c r="H48" s="727"/>
      <c r="I48" s="727"/>
      <c r="J48" s="727"/>
      <c r="K48" s="487"/>
      <c r="L48" s="833"/>
      <c r="M48" s="488"/>
      <c r="N48" s="488"/>
      <c r="O48" s="488"/>
      <c r="P48" s="488"/>
      <c r="Q48" s="488"/>
      <c r="R48" s="488"/>
      <c r="S48" s="488"/>
      <c r="T48" s="718">
        <v>2000000</v>
      </c>
    </row>
    <row r="49" spans="2:20" s="481" customFormat="1" ht="54.75" customHeight="1" thickBot="1">
      <c r="B49" s="495"/>
      <c r="C49" s="496"/>
      <c r="D49" s="728" t="s">
        <v>190</v>
      </c>
      <c r="E49" s="728"/>
      <c r="F49" s="728"/>
      <c r="G49" s="729"/>
      <c r="H49" s="497" t="s">
        <v>191</v>
      </c>
      <c r="I49" s="497" t="s">
        <v>185</v>
      </c>
      <c r="J49" s="498">
        <v>14649759</v>
      </c>
      <c r="K49" s="497" t="s">
        <v>302</v>
      </c>
      <c r="L49" s="358">
        <v>1000000</v>
      </c>
      <c r="M49" s="358">
        <v>1000000</v>
      </c>
      <c r="N49" s="358">
        <v>1000000</v>
      </c>
      <c r="O49" s="358">
        <v>1000000</v>
      </c>
      <c r="P49" s="358">
        <v>1000000</v>
      </c>
      <c r="Q49" s="288"/>
      <c r="R49" s="109"/>
      <c r="S49" s="109"/>
      <c r="T49" s="719"/>
    </row>
    <row r="50" spans="2:20" s="481" customFormat="1" ht="32.25" customHeight="1" thickBot="1">
      <c r="B50" s="494"/>
      <c r="C50" s="726" t="s">
        <v>192</v>
      </c>
      <c r="D50" s="727"/>
      <c r="E50" s="727"/>
      <c r="F50" s="727"/>
      <c r="G50" s="727"/>
      <c r="H50" s="727"/>
      <c r="I50" s="727"/>
      <c r="J50" s="727"/>
      <c r="K50" s="487"/>
      <c r="L50" s="833"/>
      <c r="M50" s="488"/>
      <c r="N50" s="488"/>
      <c r="O50" s="488"/>
      <c r="P50" s="488"/>
      <c r="Q50" s="488"/>
      <c r="R50" s="488"/>
      <c r="S50" s="488"/>
      <c r="T50" s="724">
        <f>L51+M51</f>
        <v>2150000</v>
      </c>
    </row>
    <row r="51" spans="2:20" s="481" customFormat="1" ht="85.5" customHeight="1" thickBot="1">
      <c r="B51" s="495"/>
      <c r="C51" s="496"/>
      <c r="D51" s="728" t="s">
        <v>193</v>
      </c>
      <c r="E51" s="728"/>
      <c r="F51" s="728"/>
      <c r="G51" s="729"/>
      <c r="H51" s="497" t="s">
        <v>194</v>
      </c>
      <c r="I51" s="497" t="s">
        <v>195</v>
      </c>
      <c r="J51" s="498">
        <v>12315265</v>
      </c>
      <c r="K51" s="497" t="s">
        <v>302</v>
      </c>
      <c r="L51" s="358">
        <v>1150000</v>
      </c>
      <c r="M51" s="358">
        <v>1000000</v>
      </c>
      <c r="N51" s="358">
        <v>500000</v>
      </c>
      <c r="O51" s="358">
        <v>500000</v>
      </c>
      <c r="P51" s="358">
        <v>500000</v>
      </c>
      <c r="Q51" s="288"/>
      <c r="R51" s="109"/>
      <c r="S51" s="109"/>
      <c r="T51" s="725"/>
    </row>
    <row r="52" spans="2:20" s="499" customFormat="1" ht="23.25" customHeight="1" thickBot="1">
      <c r="B52" s="494"/>
      <c r="C52" s="726" t="s">
        <v>196</v>
      </c>
      <c r="D52" s="727"/>
      <c r="E52" s="727"/>
      <c r="F52" s="727"/>
      <c r="G52" s="727"/>
      <c r="H52" s="727"/>
      <c r="I52" s="727"/>
      <c r="J52" s="727"/>
      <c r="K52" s="487"/>
      <c r="L52" s="833"/>
      <c r="M52" s="488"/>
      <c r="N52" s="488"/>
      <c r="O52" s="488"/>
      <c r="P52" s="488"/>
      <c r="Q52" s="488"/>
      <c r="R52" s="488"/>
      <c r="S52" s="488"/>
      <c r="T52" s="724">
        <f>SUM(L53:M53)</f>
        <v>18000000</v>
      </c>
    </row>
    <row r="53" spans="2:20" s="499" customFormat="1" ht="62.25" customHeight="1" thickBot="1">
      <c r="B53" s="495"/>
      <c r="C53" s="496"/>
      <c r="D53" s="728" t="s">
        <v>197</v>
      </c>
      <c r="E53" s="728"/>
      <c r="F53" s="728"/>
      <c r="G53" s="729"/>
      <c r="H53" s="497" t="s">
        <v>198</v>
      </c>
      <c r="I53" s="497" t="s">
        <v>199</v>
      </c>
      <c r="J53" s="498">
        <v>172411682</v>
      </c>
      <c r="K53" s="497" t="s">
        <v>302</v>
      </c>
      <c r="L53" s="358">
        <v>10000000</v>
      </c>
      <c r="M53" s="358">
        <v>8000000</v>
      </c>
      <c r="N53" s="358">
        <v>8000000</v>
      </c>
      <c r="O53" s="358">
        <v>8000000</v>
      </c>
      <c r="P53" s="358">
        <v>8000000</v>
      </c>
      <c r="Q53" s="288"/>
      <c r="R53" s="109"/>
      <c r="S53" s="109"/>
      <c r="T53" s="725"/>
    </row>
    <row r="54" spans="2:20" s="481" customFormat="1" ht="30" customHeight="1" thickBot="1">
      <c r="B54" s="494"/>
      <c r="C54" s="726" t="s">
        <v>200</v>
      </c>
      <c r="D54" s="727"/>
      <c r="E54" s="727"/>
      <c r="F54" s="727"/>
      <c r="G54" s="727"/>
      <c r="H54" s="727"/>
      <c r="I54" s="727"/>
      <c r="J54" s="727"/>
      <c r="K54" s="487"/>
      <c r="L54" s="833"/>
      <c r="M54" s="488"/>
      <c r="N54" s="488"/>
      <c r="O54" s="488"/>
      <c r="P54" s="488"/>
      <c r="Q54" s="488"/>
      <c r="R54" s="488"/>
      <c r="S54" s="488"/>
      <c r="T54" s="718">
        <v>1000000</v>
      </c>
    </row>
    <row r="55" spans="2:20" s="481" customFormat="1" ht="49.5" customHeight="1" thickBot="1">
      <c r="B55" s="495"/>
      <c r="C55" s="489"/>
      <c r="D55" s="722" t="s">
        <v>201</v>
      </c>
      <c r="E55" s="722"/>
      <c r="F55" s="722"/>
      <c r="G55" s="723"/>
      <c r="H55" s="497" t="s">
        <v>202</v>
      </c>
      <c r="I55" s="491" t="s">
        <v>203</v>
      </c>
      <c r="J55" s="492">
        <v>6682609</v>
      </c>
      <c r="K55" s="491" t="s">
        <v>302</v>
      </c>
      <c r="L55" s="358">
        <v>500000</v>
      </c>
      <c r="M55" s="358">
        <v>500000</v>
      </c>
      <c r="N55" s="358">
        <v>500000</v>
      </c>
      <c r="O55" s="358">
        <v>500000</v>
      </c>
      <c r="P55" s="358">
        <v>500000</v>
      </c>
      <c r="Q55" s="288"/>
      <c r="R55" s="109"/>
      <c r="S55" s="109"/>
      <c r="T55" s="719"/>
    </row>
    <row r="56" spans="3:20" s="481" customFormat="1" ht="28.5" customHeight="1" thickBot="1">
      <c r="C56" s="726" t="s">
        <v>204</v>
      </c>
      <c r="D56" s="727"/>
      <c r="E56" s="727"/>
      <c r="F56" s="727"/>
      <c r="G56" s="727"/>
      <c r="H56" s="727"/>
      <c r="I56" s="727"/>
      <c r="J56" s="727"/>
      <c r="K56" s="487"/>
      <c r="L56" s="833"/>
      <c r="M56" s="488"/>
      <c r="N56" s="488"/>
      <c r="O56" s="488"/>
      <c r="P56" s="488"/>
      <c r="Q56" s="488"/>
      <c r="R56" s="488"/>
      <c r="S56" s="488"/>
      <c r="T56" s="718">
        <f>L57+M57</f>
        <v>1556750</v>
      </c>
    </row>
    <row r="57" spans="3:20" s="481" customFormat="1" ht="55.5" customHeight="1" thickBot="1">
      <c r="C57" s="489"/>
      <c r="D57" s="722" t="s">
        <v>205</v>
      </c>
      <c r="E57" s="722"/>
      <c r="F57" s="722"/>
      <c r="G57" s="723"/>
      <c r="H57" s="497" t="s">
        <v>206</v>
      </c>
      <c r="I57" s="491" t="s">
        <v>207</v>
      </c>
      <c r="J57" s="492">
        <v>7339869</v>
      </c>
      <c r="K57" s="491" t="s">
        <v>302</v>
      </c>
      <c r="L57" s="358">
        <v>1056750</v>
      </c>
      <c r="M57" s="358">
        <f>M55</f>
        <v>500000</v>
      </c>
      <c r="N57" s="358">
        <f>N55</f>
        <v>500000</v>
      </c>
      <c r="O57" s="358">
        <f>O55</f>
        <v>500000</v>
      </c>
      <c r="P57" s="358">
        <f>P55</f>
        <v>500000</v>
      </c>
      <c r="Q57" s="288"/>
      <c r="R57" s="109"/>
      <c r="S57" s="109"/>
      <c r="T57" s="719"/>
    </row>
    <row r="58" spans="3:20" s="481" customFormat="1" ht="24.75" customHeight="1" thickBot="1">
      <c r="C58" s="726" t="s">
        <v>208</v>
      </c>
      <c r="D58" s="727"/>
      <c r="E58" s="727"/>
      <c r="F58" s="727"/>
      <c r="G58" s="727"/>
      <c r="H58" s="727"/>
      <c r="I58" s="727"/>
      <c r="J58" s="727"/>
      <c r="K58" s="487"/>
      <c r="L58" s="833"/>
      <c r="M58" s="488"/>
      <c r="N58" s="488"/>
      <c r="O58" s="488"/>
      <c r="P58" s="488"/>
      <c r="Q58" s="488"/>
      <c r="R58" s="488"/>
      <c r="S58" s="488"/>
      <c r="T58" s="718">
        <v>800000</v>
      </c>
    </row>
    <row r="59" spans="3:20" s="481" customFormat="1" ht="54" customHeight="1" thickBot="1">
      <c r="C59" s="489"/>
      <c r="D59" s="722" t="s">
        <v>201</v>
      </c>
      <c r="E59" s="722"/>
      <c r="F59" s="722"/>
      <c r="G59" s="723"/>
      <c r="H59" s="490" t="s">
        <v>209</v>
      </c>
      <c r="I59" s="491" t="s">
        <v>185</v>
      </c>
      <c r="J59" s="492">
        <v>5960671</v>
      </c>
      <c r="K59" s="491" t="s">
        <v>302</v>
      </c>
      <c r="L59" s="451">
        <v>400000</v>
      </c>
      <c r="M59" s="451">
        <v>400000</v>
      </c>
      <c r="N59" s="451">
        <v>400000</v>
      </c>
      <c r="O59" s="451">
        <v>400000</v>
      </c>
      <c r="P59" s="451">
        <v>400000</v>
      </c>
      <c r="Q59" s="493"/>
      <c r="R59" s="238"/>
      <c r="S59" s="238"/>
      <c r="T59" s="719"/>
    </row>
    <row r="60" spans="3:20" s="481" customFormat="1" ht="30.75" customHeight="1" thickBot="1">
      <c r="C60" s="726" t="s">
        <v>210</v>
      </c>
      <c r="D60" s="727"/>
      <c r="E60" s="727"/>
      <c r="F60" s="727"/>
      <c r="G60" s="727"/>
      <c r="H60" s="727"/>
      <c r="I60" s="727"/>
      <c r="J60" s="727"/>
      <c r="K60" s="487"/>
      <c r="L60" s="833"/>
      <c r="M60" s="488"/>
      <c r="N60" s="488"/>
      <c r="O60" s="488"/>
      <c r="P60" s="488"/>
      <c r="Q60" s="488"/>
      <c r="R60" s="488"/>
      <c r="S60" s="488"/>
      <c r="T60" s="718">
        <f>L61+M61+N61</f>
        <v>3000000</v>
      </c>
    </row>
    <row r="61" spans="3:20" s="481" customFormat="1" ht="53.25" customHeight="1" thickBot="1">
      <c r="C61" s="489"/>
      <c r="D61" s="722" t="s">
        <v>211</v>
      </c>
      <c r="E61" s="722"/>
      <c r="F61" s="722"/>
      <c r="G61" s="723"/>
      <c r="H61" s="490" t="s">
        <v>212</v>
      </c>
      <c r="I61" s="491" t="s">
        <v>199</v>
      </c>
      <c r="J61" s="492">
        <v>19555029</v>
      </c>
      <c r="K61" s="491" t="s">
        <v>302</v>
      </c>
      <c r="L61" s="451">
        <v>1000000</v>
      </c>
      <c r="M61" s="451">
        <v>1000000</v>
      </c>
      <c r="N61" s="451">
        <v>1000000</v>
      </c>
      <c r="O61" s="451">
        <v>2000000</v>
      </c>
      <c r="P61" s="451">
        <v>2000000</v>
      </c>
      <c r="Q61" s="493"/>
      <c r="R61" s="238"/>
      <c r="S61" s="238"/>
      <c r="T61" s="719"/>
    </row>
    <row r="62" spans="3:20" s="481" customFormat="1" ht="30" customHeight="1" thickBot="1">
      <c r="C62" s="726" t="s">
        <v>213</v>
      </c>
      <c r="D62" s="727"/>
      <c r="E62" s="727"/>
      <c r="F62" s="727"/>
      <c r="G62" s="727"/>
      <c r="H62" s="727"/>
      <c r="I62" s="727"/>
      <c r="J62" s="727"/>
      <c r="K62" s="487"/>
      <c r="L62" s="833"/>
      <c r="M62" s="488"/>
      <c r="N62" s="488"/>
      <c r="O62" s="488"/>
      <c r="P62" s="488"/>
      <c r="Q62" s="488"/>
      <c r="R62" s="488"/>
      <c r="S62" s="488"/>
      <c r="T62" s="718">
        <v>16000000</v>
      </c>
    </row>
    <row r="63" spans="3:20" s="481" customFormat="1" ht="64.5" customHeight="1" thickBot="1">
      <c r="C63" s="489"/>
      <c r="D63" s="722" t="s">
        <v>211</v>
      </c>
      <c r="E63" s="722"/>
      <c r="F63" s="722"/>
      <c r="G63" s="723"/>
      <c r="H63" s="497" t="s">
        <v>214</v>
      </c>
      <c r="I63" s="491" t="s">
        <v>30</v>
      </c>
      <c r="J63" s="492">
        <v>62798570</v>
      </c>
      <c r="K63" s="491" t="s">
        <v>302</v>
      </c>
      <c r="L63" s="358">
        <v>8000000</v>
      </c>
      <c r="M63" s="358">
        <v>8000000</v>
      </c>
      <c r="N63" s="358">
        <v>7000000</v>
      </c>
      <c r="O63" s="358">
        <v>7000000</v>
      </c>
      <c r="P63" s="358">
        <v>7000000</v>
      </c>
      <c r="Q63" s="288"/>
      <c r="R63" s="109"/>
      <c r="S63" s="109"/>
      <c r="T63" s="719"/>
    </row>
    <row r="64" spans="3:20" s="481" customFormat="1" ht="24.75" customHeight="1" thickBot="1">
      <c r="C64" s="726" t="s">
        <v>215</v>
      </c>
      <c r="D64" s="727"/>
      <c r="E64" s="727"/>
      <c r="F64" s="727"/>
      <c r="G64" s="727"/>
      <c r="H64" s="727"/>
      <c r="I64" s="727"/>
      <c r="J64" s="727"/>
      <c r="K64" s="487"/>
      <c r="L64" s="833"/>
      <c r="M64" s="488"/>
      <c r="N64" s="488"/>
      <c r="O64" s="488"/>
      <c r="P64" s="488"/>
      <c r="Q64" s="488"/>
      <c r="R64" s="488"/>
      <c r="S64" s="488"/>
      <c r="T64" s="720">
        <f>L65+M65</f>
        <v>15500000</v>
      </c>
    </row>
    <row r="65" spans="3:20" s="481" customFormat="1" ht="54" customHeight="1" thickBot="1">
      <c r="C65" s="489"/>
      <c r="D65" s="722" t="s">
        <v>211</v>
      </c>
      <c r="E65" s="722"/>
      <c r="F65" s="722"/>
      <c r="G65" s="723"/>
      <c r="H65" s="497" t="s">
        <v>216</v>
      </c>
      <c r="I65" s="491" t="s">
        <v>30</v>
      </c>
      <c r="J65" s="492">
        <v>47247393</v>
      </c>
      <c r="K65" s="491" t="s">
        <v>302</v>
      </c>
      <c r="L65" s="358">
        <v>9500000</v>
      </c>
      <c r="M65" s="358">
        <v>6000000</v>
      </c>
      <c r="N65" s="358">
        <v>5500000</v>
      </c>
      <c r="O65" s="358">
        <v>4500000</v>
      </c>
      <c r="P65" s="358">
        <v>4500000</v>
      </c>
      <c r="Q65" s="288"/>
      <c r="R65" s="109"/>
      <c r="S65" s="109"/>
      <c r="T65" s="721"/>
    </row>
    <row r="66" spans="3:20" s="481" customFormat="1" ht="28.5" customHeight="1" thickBot="1">
      <c r="C66" s="726" t="s">
        <v>217</v>
      </c>
      <c r="D66" s="727"/>
      <c r="E66" s="727"/>
      <c r="F66" s="727"/>
      <c r="G66" s="727"/>
      <c r="H66" s="727"/>
      <c r="I66" s="727"/>
      <c r="J66" s="727"/>
      <c r="K66" s="487"/>
      <c r="L66" s="833"/>
      <c r="M66" s="488"/>
      <c r="N66" s="488"/>
      <c r="O66" s="488"/>
      <c r="P66" s="488"/>
      <c r="Q66" s="488"/>
      <c r="R66" s="488"/>
      <c r="S66" s="488"/>
      <c r="T66" s="718">
        <v>1000000</v>
      </c>
    </row>
    <row r="67" spans="3:20" s="481" customFormat="1" ht="47.25" customHeight="1" thickBot="1">
      <c r="C67" s="489"/>
      <c r="D67" s="722" t="s">
        <v>218</v>
      </c>
      <c r="E67" s="722"/>
      <c r="F67" s="722"/>
      <c r="G67" s="723"/>
      <c r="H67" s="497" t="s">
        <v>219</v>
      </c>
      <c r="I67" s="491" t="s">
        <v>452</v>
      </c>
      <c r="J67" s="492">
        <v>3000000</v>
      </c>
      <c r="K67" s="491" t="s">
        <v>302</v>
      </c>
      <c r="L67" s="358">
        <v>500000</v>
      </c>
      <c r="M67" s="358">
        <v>500000</v>
      </c>
      <c r="N67" s="358">
        <v>500000</v>
      </c>
      <c r="O67" s="358">
        <v>500000</v>
      </c>
      <c r="P67" s="358">
        <v>500000</v>
      </c>
      <c r="Q67" s="288"/>
      <c r="R67" s="109"/>
      <c r="S67" s="109"/>
      <c r="T67" s="719"/>
    </row>
    <row r="68" spans="3:20" s="481" customFormat="1" ht="26.25" customHeight="1" thickBot="1">
      <c r="C68" s="726" t="s">
        <v>220</v>
      </c>
      <c r="D68" s="727"/>
      <c r="E68" s="727"/>
      <c r="F68" s="727"/>
      <c r="G68" s="727"/>
      <c r="H68" s="727"/>
      <c r="I68" s="727"/>
      <c r="J68" s="727"/>
      <c r="K68" s="487"/>
      <c r="L68" s="833"/>
      <c r="M68" s="488"/>
      <c r="N68" s="488"/>
      <c r="O68" s="488"/>
      <c r="P68" s="488"/>
      <c r="Q68" s="488"/>
      <c r="R68" s="488"/>
      <c r="S68" s="488"/>
      <c r="T68" s="718">
        <v>10100000</v>
      </c>
    </row>
    <row r="69" spans="3:20" s="481" customFormat="1" ht="54.75" customHeight="1" thickBot="1">
      <c r="C69" s="489"/>
      <c r="D69" s="722" t="s">
        <v>205</v>
      </c>
      <c r="E69" s="722"/>
      <c r="F69" s="722"/>
      <c r="G69" s="723"/>
      <c r="H69" s="497" t="s">
        <v>221</v>
      </c>
      <c r="I69" s="491" t="s">
        <v>207</v>
      </c>
      <c r="J69" s="492">
        <v>57273413</v>
      </c>
      <c r="K69" s="491" t="s">
        <v>302</v>
      </c>
      <c r="L69" s="358">
        <v>5100000</v>
      </c>
      <c r="M69" s="358">
        <v>5000000</v>
      </c>
      <c r="N69" s="358">
        <v>4000000</v>
      </c>
      <c r="O69" s="358">
        <v>4000000</v>
      </c>
      <c r="P69" s="358">
        <v>4000000</v>
      </c>
      <c r="Q69" s="288"/>
      <c r="R69" s="109"/>
      <c r="S69" s="109"/>
      <c r="T69" s="719"/>
    </row>
    <row r="70" spans="3:20" s="481" customFormat="1" ht="29.25" customHeight="1" thickBot="1">
      <c r="C70" s="726" t="s">
        <v>222</v>
      </c>
      <c r="D70" s="727"/>
      <c r="E70" s="727"/>
      <c r="F70" s="727"/>
      <c r="G70" s="727"/>
      <c r="H70" s="727"/>
      <c r="I70" s="727"/>
      <c r="J70" s="727"/>
      <c r="K70" s="487"/>
      <c r="L70" s="833"/>
      <c r="M70" s="488"/>
      <c r="N70" s="488"/>
      <c r="O70" s="488"/>
      <c r="P70" s="488"/>
      <c r="Q70" s="488"/>
      <c r="R70" s="488"/>
      <c r="S70" s="488"/>
      <c r="T70" s="718">
        <v>8000000</v>
      </c>
    </row>
    <row r="71" spans="3:20" s="481" customFormat="1" ht="58.5" customHeight="1" thickBot="1">
      <c r="C71" s="489"/>
      <c r="D71" s="722" t="s">
        <v>211</v>
      </c>
      <c r="E71" s="722"/>
      <c r="F71" s="722"/>
      <c r="G71" s="723"/>
      <c r="H71" s="497" t="s">
        <v>223</v>
      </c>
      <c r="I71" s="491" t="s">
        <v>147</v>
      </c>
      <c r="J71" s="492">
        <v>150374838</v>
      </c>
      <c r="K71" s="491" t="s">
        <v>302</v>
      </c>
      <c r="L71" s="358">
        <v>4000000</v>
      </c>
      <c r="M71" s="358">
        <v>4000000</v>
      </c>
      <c r="N71" s="358">
        <v>4000000</v>
      </c>
      <c r="O71" s="358">
        <v>4000000</v>
      </c>
      <c r="P71" s="358">
        <v>4000000</v>
      </c>
      <c r="Q71" s="288"/>
      <c r="R71" s="109"/>
      <c r="S71" s="109"/>
      <c r="T71" s="719"/>
    </row>
    <row r="72" spans="1:20" s="501" customFormat="1" ht="32.25" customHeight="1" thickBot="1">
      <c r="A72" s="67"/>
      <c r="B72" s="500"/>
      <c r="C72" s="737" t="s">
        <v>517</v>
      </c>
      <c r="D72" s="738"/>
      <c r="E72" s="738"/>
      <c r="F72" s="738"/>
      <c r="G72" s="738"/>
      <c r="H72" s="738"/>
      <c r="I72" s="739"/>
      <c r="J72" s="210">
        <f>J71+J69+J67+J65+J63+J61+J59+J57+J55+J53+J51+J49+J47+J45+J43+J41+J37+J35+J33+J31+J29+J27+J25+J23+J21+J19+J17+J15+J13+J11+J9+J7</f>
        <v>1589375330</v>
      </c>
      <c r="K72" s="211" t="s">
        <v>302</v>
      </c>
      <c r="L72" s="224">
        <f>+L39+L37+L35+L33+L31+L29+L27+L25+L23+L21+L19+L17+L15+L13+L11+L9+L7+L41+L43+L45+L47+L49+L51+L53+L55+L57+L59+L61+L63+L65+L67+L69+L71</f>
        <v>216231450</v>
      </c>
      <c r="M72" s="225">
        <f aca="true" t="shared" si="0" ref="M72:S72">+M39+M37+M35+M33+M31+M29+M27+M25+M23+M21+M19+M17+M15+M13+M11+M9+M7+M41+M43+M45+M47+M49+M51+M53+M55+M57+M59+M61+M63+M65+M67+M69+M71</f>
        <v>168691400</v>
      </c>
      <c r="N72" s="225">
        <f t="shared" si="0"/>
        <v>94311400</v>
      </c>
      <c r="O72" s="225">
        <f t="shared" si="0"/>
        <v>220571800</v>
      </c>
      <c r="P72" s="225">
        <f t="shared" si="0"/>
        <v>119033300</v>
      </c>
      <c r="Q72" s="225">
        <f t="shared" si="0"/>
        <v>138600000</v>
      </c>
      <c r="R72" s="225">
        <f t="shared" si="0"/>
        <v>77500000</v>
      </c>
      <c r="S72" s="226">
        <f t="shared" si="0"/>
        <v>64176800</v>
      </c>
      <c r="T72" s="227">
        <f>+T38+T36+T34+T32+T30+T28+T26+T24+T22+T20+T18+T16+T14+T12+T10+T8+T6+T40+T42+T44+T46+T48+T50+T52+T54+T56+T58+T60+T62+T64+T66+T68+T70</f>
        <v>395938800</v>
      </c>
    </row>
    <row r="73" spans="1:20" s="195" customFormat="1" ht="20.25" customHeight="1" thickBot="1">
      <c r="A73" s="189"/>
      <c r="B73" s="190"/>
      <c r="C73" s="228" t="s">
        <v>503</v>
      </c>
      <c r="D73" s="229"/>
      <c r="E73" s="229"/>
      <c r="F73" s="229"/>
      <c r="G73" s="229"/>
      <c r="H73" s="201"/>
      <c r="I73" s="201"/>
      <c r="J73" s="201"/>
      <c r="K73" s="189"/>
      <c r="L73" s="189"/>
      <c r="M73" s="192"/>
      <c r="N73" s="193"/>
      <c r="O73" s="193"/>
      <c r="P73" s="193"/>
      <c r="Q73" s="193"/>
      <c r="R73" s="193"/>
      <c r="S73" s="193"/>
      <c r="T73" s="241"/>
    </row>
    <row r="74" spans="1:21" s="140" customFormat="1" ht="26.25" customHeight="1" thickBot="1">
      <c r="A74" s="712"/>
      <c r="B74" s="141"/>
      <c r="C74" s="197" t="s">
        <v>243</v>
      </c>
      <c r="D74" s="197"/>
      <c r="E74" s="197"/>
      <c r="F74" s="197"/>
      <c r="G74" s="212"/>
      <c r="H74" s="212"/>
      <c r="I74" s="212"/>
      <c r="J74" s="375"/>
      <c r="K74" s="120"/>
      <c r="L74" s="120"/>
      <c r="M74" s="120"/>
      <c r="N74" s="120"/>
      <c r="O74" s="120"/>
      <c r="P74" s="120"/>
      <c r="Q74" s="120"/>
      <c r="R74" s="120"/>
      <c r="S74" s="120"/>
      <c r="T74" s="714">
        <v>600000</v>
      </c>
      <c r="U74" s="121"/>
    </row>
    <row r="75" spans="1:21" s="143" customFormat="1" ht="45" customHeight="1" thickBot="1">
      <c r="A75" s="713"/>
      <c r="B75" s="43"/>
      <c r="C75" s="114"/>
      <c r="D75" s="716" t="s">
        <v>35</v>
      </c>
      <c r="E75" s="716"/>
      <c r="F75" s="716"/>
      <c r="G75" s="717"/>
      <c r="H75" s="157" t="s">
        <v>70</v>
      </c>
      <c r="I75" s="147" t="s">
        <v>245</v>
      </c>
      <c r="J75" s="371">
        <v>3581041</v>
      </c>
      <c r="K75" s="147" t="s">
        <v>302</v>
      </c>
      <c r="L75" s="351">
        <v>600000</v>
      </c>
      <c r="M75" s="362"/>
      <c r="N75" s="166"/>
      <c r="O75" s="35"/>
      <c r="P75" s="35"/>
      <c r="Q75" s="35"/>
      <c r="R75" s="35"/>
      <c r="S75" s="35"/>
      <c r="T75" s="715"/>
      <c r="U75" s="117"/>
    </row>
    <row r="76" spans="1:21" s="140" customFormat="1" ht="26.25" customHeight="1" thickBot="1">
      <c r="A76" s="712"/>
      <c r="B76" s="141"/>
      <c r="C76" s="197" t="s">
        <v>249</v>
      </c>
      <c r="D76" s="197"/>
      <c r="E76" s="197"/>
      <c r="F76" s="197"/>
      <c r="G76" s="212"/>
      <c r="H76" s="212"/>
      <c r="I76" s="212"/>
      <c r="J76" s="375"/>
      <c r="K76" s="120"/>
      <c r="L76" s="349"/>
      <c r="M76" s="349"/>
      <c r="N76" s="349"/>
      <c r="O76" s="349"/>
      <c r="P76" s="120"/>
      <c r="Q76" s="120"/>
      <c r="R76" s="120"/>
      <c r="S76" s="120"/>
      <c r="T76" s="714">
        <v>500000</v>
      </c>
      <c r="U76" s="121"/>
    </row>
    <row r="77" spans="1:21" s="143" customFormat="1" ht="45" customHeight="1" thickBot="1">
      <c r="A77" s="713"/>
      <c r="B77" s="43"/>
      <c r="C77" s="114"/>
      <c r="D77" s="716" t="s">
        <v>36</v>
      </c>
      <c r="E77" s="716"/>
      <c r="F77" s="716"/>
      <c r="G77" s="717"/>
      <c r="H77" s="157" t="s">
        <v>71</v>
      </c>
      <c r="I77" s="147" t="s">
        <v>250</v>
      </c>
      <c r="J77" s="371">
        <v>5085600</v>
      </c>
      <c r="K77" s="147" t="s">
        <v>302</v>
      </c>
      <c r="L77" s="363">
        <v>500000</v>
      </c>
      <c r="M77" s="364">
        <v>500000</v>
      </c>
      <c r="N77" s="35"/>
      <c r="O77" s="35"/>
      <c r="P77" s="35"/>
      <c r="Q77" s="35"/>
      <c r="R77" s="35"/>
      <c r="S77" s="35"/>
      <c r="T77" s="715"/>
      <c r="U77" s="117"/>
    </row>
    <row r="78" spans="1:21" s="140" customFormat="1" ht="26.25" customHeight="1" thickBot="1">
      <c r="A78" s="712"/>
      <c r="B78" s="141"/>
      <c r="C78" s="197" t="s">
        <v>244</v>
      </c>
      <c r="D78" s="197"/>
      <c r="E78" s="197"/>
      <c r="F78" s="197"/>
      <c r="G78" s="212"/>
      <c r="H78" s="212"/>
      <c r="I78" s="212"/>
      <c r="J78" s="375"/>
      <c r="K78" s="120"/>
      <c r="L78" s="349"/>
      <c r="M78" s="349"/>
      <c r="N78" s="349"/>
      <c r="O78" s="349"/>
      <c r="P78" s="120"/>
      <c r="Q78" s="120"/>
      <c r="R78" s="120"/>
      <c r="S78" s="120"/>
      <c r="T78" s="714">
        <v>0</v>
      </c>
      <c r="U78" s="121"/>
    </row>
    <row r="79" spans="1:21" s="143" customFormat="1" ht="58.5" customHeight="1" thickBot="1">
      <c r="A79" s="713"/>
      <c r="B79" s="43"/>
      <c r="C79" s="162"/>
      <c r="D79" s="730" t="s">
        <v>37</v>
      </c>
      <c r="E79" s="730"/>
      <c r="F79" s="730"/>
      <c r="G79" s="731"/>
      <c r="H79" s="157" t="s">
        <v>72</v>
      </c>
      <c r="I79" s="163" t="s">
        <v>151</v>
      </c>
      <c r="J79" s="164">
        <v>713672300</v>
      </c>
      <c r="K79" s="163" t="s">
        <v>302</v>
      </c>
      <c r="L79" s="355">
        <v>35000000</v>
      </c>
      <c r="M79" s="101"/>
      <c r="N79" s="101"/>
      <c r="O79" s="101"/>
      <c r="P79" s="101"/>
      <c r="Q79" s="101"/>
      <c r="R79" s="101"/>
      <c r="S79" s="101"/>
      <c r="T79" s="715"/>
      <c r="U79" s="117"/>
    </row>
    <row r="80" spans="1:21" s="140" customFormat="1" ht="26.25" customHeight="1" thickBot="1">
      <c r="A80" s="712"/>
      <c r="B80" s="141"/>
      <c r="C80" s="197" t="s">
        <v>246</v>
      </c>
      <c r="D80" s="197"/>
      <c r="E80" s="197"/>
      <c r="F80" s="197"/>
      <c r="G80" s="212"/>
      <c r="H80" s="212"/>
      <c r="I80" s="212"/>
      <c r="J80" s="375"/>
      <c r="K80" s="120"/>
      <c r="L80" s="349"/>
      <c r="M80" s="349"/>
      <c r="N80" s="349"/>
      <c r="O80" s="349"/>
      <c r="P80" s="120"/>
      <c r="Q80" s="120"/>
      <c r="R80" s="120"/>
      <c r="S80" s="120"/>
      <c r="T80" s="714">
        <v>1600000</v>
      </c>
      <c r="U80" s="121"/>
    </row>
    <row r="81" spans="1:21" s="143" customFormat="1" ht="45" customHeight="1" thickBot="1">
      <c r="A81" s="713"/>
      <c r="B81" s="43"/>
      <c r="C81" s="114"/>
      <c r="D81" s="716" t="s">
        <v>38</v>
      </c>
      <c r="E81" s="716"/>
      <c r="F81" s="716"/>
      <c r="G81" s="717"/>
      <c r="H81" s="157" t="s">
        <v>73</v>
      </c>
      <c r="I81" s="115" t="s">
        <v>247</v>
      </c>
      <c r="J81" s="116">
        <v>51148611</v>
      </c>
      <c r="K81" s="115" t="s">
        <v>302</v>
      </c>
      <c r="L81" s="365">
        <v>1600000</v>
      </c>
      <c r="M81" s="365">
        <v>1000000</v>
      </c>
      <c r="N81" s="365">
        <v>1000000</v>
      </c>
      <c r="O81" s="365">
        <v>1665000</v>
      </c>
      <c r="P81" s="151"/>
      <c r="Q81" s="35"/>
      <c r="R81" s="35"/>
      <c r="S81" s="35"/>
      <c r="T81" s="715"/>
      <c r="U81" s="117"/>
    </row>
    <row r="82" spans="1:21" s="140" customFormat="1" ht="26.25" customHeight="1" thickBot="1">
      <c r="A82" s="712"/>
      <c r="B82" s="141"/>
      <c r="C82" s="197" t="s">
        <v>248</v>
      </c>
      <c r="D82" s="197"/>
      <c r="E82" s="197"/>
      <c r="F82" s="197"/>
      <c r="G82" s="197"/>
      <c r="H82" s="197"/>
      <c r="I82" s="197"/>
      <c r="J82" s="372"/>
      <c r="K82" s="120"/>
      <c r="L82" s="349"/>
      <c r="M82" s="349"/>
      <c r="N82" s="349"/>
      <c r="O82" s="349"/>
      <c r="P82" s="120"/>
      <c r="Q82" s="120"/>
      <c r="R82" s="120"/>
      <c r="S82" s="120"/>
      <c r="T82" s="714">
        <v>0</v>
      </c>
      <c r="U82" s="121"/>
    </row>
    <row r="83" spans="1:21" s="143" customFormat="1" ht="72" customHeight="1" thickBot="1">
      <c r="A83" s="713"/>
      <c r="B83" s="43"/>
      <c r="C83" s="114"/>
      <c r="D83" s="716" t="s">
        <v>39</v>
      </c>
      <c r="E83" s="716"/>
      <c r="F83" s="716"/>
      <c r="G83" s="717"/>
      <c r="H83" s="231" t="s">
        <v>74</v>
      </c>
      <c r="I83" s="115" t="s">
        <v>562</v>
      </c>
      <c r="J83" s="116">
        <v>219428705</v>
      </c>
      <c r="K83" s="115" t="s">
        <v>302</v>
      </c>
      <c r="L83" s="365">
        <v>92757585</v>
      </c>
      <c r="M83" s="35"/>
      <c r="N83" s="35"/>
      <c r="O83" s="35"/>
      <c r="P83" s="35"/>
      <c r="Q83" s="35"/>
      <c r="R83" s="35"/>
      <c r="S83" s="35"/>
      <c r="T83" s="715"/>
      <c r="U83" s="117"/>
    </row>
    <row r="84" spans="1:21" s="140" customFormat="1" ht="27" customHeight="1" thickBot="1">
      <c r="A84" s="712"/>
      <c r="B84" s="141"/>
      <c r="C84" s="197" t="s">
        <v>504</v>
      </c>
      <c r="D84" s="197"/>
      <c r="E84" s="197"/>
      <c r="F84" s="197"/>
      <c r="G84" s="212"/>
      <c r="H84" s="212"/>
      <c r="I84" s="212"/>
      <c r="J84" s="375"/>
      <c r="K84" s="120"/>
      <c r="L84" s="349"/>
      <c r="M84" s="349"/>
      <c r="N84" s="349"/>
      <c r="O84" s="349"/>
      <c r="P84" s="120"/>
      <c r="Q84" s="120"/>
      <c r="R84" s="120"/>
      <c r="S84" s="120"/>
      <c r="T84" s="714">
        <v>21165000</v>
      </c>
      <c r="U84" s="121"/>
    </row>
    <row r="85" spans="1:21" s="143" customFormat="1" ht="32.25" customHeight="1" thickBot="1">
      <c r="A85" s="713"/>
      <c r="B85" s="43"/>
      <c r="C85" s="114"/>
      <c r="D85" s="716" t="s">
        <v>505</v>
      </c>
      <c r="E85" s="716"/>
      <c r="F85" s="716"/>
      <c r="G85" s="717"/>
      <c r="H85" s="147" t="s">
        <v>295</v>
      </c>
      <c r="I85" s="115" t="s">
        <v>327</v>
      </c>
      <c r="J85" s="116">
        <v>21165000</v>
      </c>
      <c r="K85" s="115" t="s">
        <v>297</v>
      </c>
      <c r="L85" s="33">
        <v>265000</v>
      </c>
      <c r="M85" s="35">
        <v>20900000</v>
      </c>
      <c r="N85" s="35"/>
      <c r="O85" s="35"/>
      <c r="P85" s="35"/>
      <c r="Q85" s="35"/>
      <c r="R85" s="35"/>
      <c r="S85" s="35"/>
      <c r="T85" s="715"/>
      <c r="U85" s="117"/>
    </row>
    <row r="86" spans="1:20" s="134" customFormat="1" ht="32.25" customHeight="1">
      <c r="A86" s="68"/>
      <c r="B86" s="133"/>
      <c r="C86" s="743" t="s">
        <v>518</v>
      </c>
      <c r="D86" s="744"/>
      <c r="E86" s="744"/>
      <c r="F86" s="744"/>
      <c r="G86" s="744"/>
      <c r="H86" s="744"/>
      <c r="I86" s="745"/>
      <c r="J86" s="706">
        <f>J85+J83+J81+J79+J77+J75</f>
        <v>1014081257</v>
      </c>
      <c r="K86" s="213" t="s">
        <v>297</v>
      </c>
      <c r="L86" s="214">
        <f>L85</f>
        <v>265000</v>
      </c>
      <c r="M86" s="215">
        <f aca="true" t="shared" si="1" ref="M86:S86">M85</f>
        <v>20900000</v>
      </c>
      <c r="N86" s="215">
        <f t="shared" si="1"/>
        <v>0</v>
      </c>
      <c r="O86" s="215">
        <f t="shared" si="1"/>
        <v>0</v>
      </c>
      <c r="P86" s="215">
        <f t="shared" si="1"/>
        <v>0</v>
      </c>
      <c r="Q86" s="215">
        <f t="shared" si="1"/>
        <v>0</v>
      </c>
      <c r="R86" s="215">
        <f t="shared" si="1"/>
        <v>0</v>
      </c>
      <c r="S86" s="215">
        <f t="shared" si="1"/>
        <v>0</v>
      </c>
      <c r="T86" s="709">
        <f>T84+T82+T80+T78+T76+T74</f>
        <v>23865000</v>
      </c>
    </row>
    <row r="87" spans="1:20" s="134" customFormat="1" ht="32.25" customHeight="1">
      <c r="A87" s="68"/>
      <c r="B87" s="133"/>
      <c r="C87" s="746"/>
      <c r="D87" s="747"/>
      <c r="E87" s="747"/>
      <c r="F87" s="747"/>
      <c r="G87" s="747"/>
      <c r="H87" s="747"/>
      <c r="I87" s="748"/>
      <c r="J87" s="707"/>
      <c r="K87" s="217" t="s">
        <v>302</v>
      </c>
      <c r="L87" s="218">
        <f>L83+L81+L79+L77+L75</f>
        <v>130457585</v>
      </c>
      <c r="M87" s="219">
        <f aca="true" t="shared" si="2" ref="M87:S87">M83+M81+M79+M77+M75</f>
        <v>1500000</v>
      </c>
      <c r="N87" s="219">
        <f t="shared" si="2"/>
        <v>1000000</v>
      </c>
      <c r="O87" s="219">
        <f t="shared" si="2"/>
        <v>1665000</v>
      </c>
      <c r="P87" s="219">
        <f t="shared" si="2"/>
        <v>0</v>
      </c>
      <c r="Q87" s="219">
        <f t="shared" si="2"/>
        <v>0</v>
      </c>
      <c r="R87" s="219">
        <f t="shared" si="2"/>
        <v>0</v>
      </c>
      <c r="S87" s="219">
        <f t="shared" si="2"/>
        <v>0</v>
      </c>
      <c r="T87" s="710"/>
    </row>
    <row r="88" spans="1:20" s="135" customFormat="1" ht="32.25" customHeight="1" thickBot="1">
      <c r="A88" s="65"/>
      <c r="B88" s="133"/>
      <c r="C88" s="749"/>
      <c r="D88" s="750"/>
      <c r="E88" s="750"/>
      <c r="F88" s="750"/>
      <c r="G88" s="750"/>
      <c r="H88" s="750"/>
      <c r="I88" s="751"/>
      <c r="J88" s="708"/>
      <c r="K88" s="220" t="s">
        <v>301</v>
      </c>
      <c r="L88" s="221">
        <f aca="true" t="shared" si="3" ref="L88:S88">SUM(L86:L87)</f>
        <v>130722585</v>
      </c>
      <c r="M88" s="222">
        <f t="shared" si="3"/>
        <v>22400000</v>
      </c>
      <c r="N88" s="222">
        <f t="shared" si="3"/>
        <v>1000000</v>
      </c>
      <c r="O88" s="222">
        <f t="shared" si="3"/>
        <v>1665000</v>
      </c>
      <c r="P88" s="222">
        <f t="shared" si="3"/>
        <v>0</v>
      </c>
      <c r="Q88" s="222">
        <f t="shared" si="3"/>
        <v>0</v>
      </c>
      <c r="R88" s="222">
        <f t="shared" si="3"/>
        <v>0</v>
      </c>
      <c r="S88" s="223">
        <f t="shared" si="3"/>
        <v>0</v>
      </c>
      <c r="T88" s="711"/>
    </row>
    <row r="89" spans="1:20" s="195" customFormat="1" ht="20.25" customHeight="1" thickBot="1">
      <c r="A89" s="189"/>
      <c r="B89" s="190"/>
      <c r="C89" s="459" t="s">
        <v>251</v>
      </c>
      <c r="D89" s="455"/>
      <c r="E89" s="455"/>
      <c r="F89" s="455"/>
      <c r="G89" s="455"/>
      <c r="H89" s="191"/>
      <c r="I89" s="191"/>
      <c r="J89" s="191"/>
      <c r="K89" s="189"/>
      <c r="L89" s="189"/>
      <c r="M89" s="192"/>
      <c r="N89" s="193"/>
      <c r="O89" s="193"/>
      <c r="P89" s="193"/>
      <c r="Q89" s="193"/>
      <c r="R89" s="193"/>
      <c r="S89" s="193"/>
      <c r="T89" s="241"/>
    </row>
    <row r="90" spans="1:21" s="140" customFormat="1" ht="26.25" customHeight="1" thickBot="1">
      <c r="A90" s="712"/>
      <c r="B90" s="141"/>
      <c r="C90" s="197" t="s">
        <v>252</v>
      </c>
      <c r="D90" s="197"/>
      <c r="E90" s="212"/>
      <c r="F90" s="212"/>
      <c r="G90" s="212"/>
      <c r="H90" s="212"/>
      <c r="I90" s="212"/>
      <c r="J90" s="375"/>
      <c r="K90" s="120"/>
      <c r="L90" s="120"/>
      <c r="M90" s="120"/>
      <c r="N90" s="120"/>
      <c r="O90" s="120"/>
      <c r="P90" s="120"/>
      <c r="Q90" s="120"/>
      <c r="R90" s="120"/>
      <c r="S90" s="120"/>
      <c r="T90" s="714">
        <v>29000000</v>
      </c>
      <c r="U90" s="121"/>
    </row>
    <row r="91" spans="1:21" s="143" customFormat="1" ht="45" customHeight="1" thickBot="1">
      <c r="A91" s="713"/>
      <c r="B91" s="43"/>
      <c r="C91" s="114"/>
      <c r="D91" s="716" t="s">
        <v>262</v>
      </c>
      <c r="E91" s="716"/>
      <c r="F91" s="716"/>
      <c r="G91" s="717"/>
      <c r="H91" s="157" t="s">
        <v>79</v>
      </c>
      <c r="I91" s="147" t="s">
        <v>313</v>
      </c>
      <c r="J91" s="371">
        <v>30102012</v>
      </c>
      <c r="K91" s="146" t="s">
        <v>302</v>
      </c>
      <c r="L91" s="108">
        <v>7000000</v>
      </c>
      <c r="M91" s="109">
        <v>22000000</v>
      </c>
      <c r="N91" s="109"/>
      <c r="O91" s="109"/>
      <c r="P91" s="109"/>
      <c r="Q91" s="109"/>
      <c r="R91" s="109"/>
      <c r="S91" s="109"/>
      <c r="T91" s="715"/>
      <c r="U91" s="117"/>
    </row>
    <row r="92" spans="1:21" s="140" customFormat="1" ht="26.25" customHeight="1" thickBot="1">
      <c r="A92" s="712"/>
      <c r="B92" s="141"/>
      <c r="C92" s="197" t="s">
        <v>254</v>
      </c>
      <c r="D92" s="197"/>
      <c r="E92" s="212"/>
      <c r="F92" s="212"/>
      <c r="G92" s="212"/>
      <c r="H92" s="212"/>
      <c r="I92" s="212"/>
      <c r="J92" s="375"/>
      <c r="K92" s="120"/>
      <c r="L92" s="120"/>
      <c r="M92" s="120"/>
      <c r="N92" s="120"/>
      <c r="O92" s="120"/>
      <c r="P92" s="120"/>
      <c r="Q92" s="120"/>
      <c r="R92" s="120"/>
      <c r="S92" s="120"/>
      <c r="T92" s="714">
        <v>800000</v>
      </c>
      <c r="U92" s="121"/>
    </row>
    <row r="93" spans="1:21" s="143" customFormat="1" ht="45" customHeight="1" thickBot="1">
      <c r="A93" s="713"/>
      <c r="B93" s="43"/>
      <c r="C93" s="114"/>
      <c r="D93" s="716" t="s">
        <v>263</v>
      </c>
      <c r="E93" s="716"/>
      <c r="F93" s="716"/>
      <c r="G93" s="717"/>
      <c r="H93" s="157" t="s">
        <v>78</v>
      </c>
      <c r="I93" s="147" t="s">
        <v>485</v>
      </c>
      <c r="J93" s="371">
        <v>1800000</v>
      </c>
      <c r="K93" s="146" t="s">
        <v>302</v>
      </c>
      <c r="L93" s="108">
        <v>200000</v>
      </c>
      <c r="M93" s="109">
        <v>600000</v>
      </c>
      <c r="N93" s="109"/>
      <c r="O93" s="109">
        <v>200000</v>
      </c>
      <c r="P93" s="109">
        <v>800000</v>
      </c>
      <c r="Q93" s="109"/>
      <c r="R93" s="109"/>
      <c r="S93" s="109"/>
      <c r="T93" s="715"/>
      <c r="U93" s="117"/>
    </row>
    <row r="94" spans="1:20" s="134" customFormat="1" ht="32.25" customHeight="1" thickBot="1">
      <c r="A94" s="67"/>
      <c r="B94" s="133"/>
      <c r="C94" s="737" t="s">
        <v>518</v>
      </c>
      <c r="D94" s="738"/>
      <c r="E94" s="738"/>
      <c r="F94" s="738"/>
      <c r="G94" s="738"/>
      <c r="H94" s="738"/>
      <c r="I94" s="739"/>
      <c r="J94" s="210">
        <f>+J93+J91</f>
        <v>31902012</v>
      </c>
      <c r="K94" s="211" t="s">
        <v>302</v>
      </c>
      <c r="L94" s="224">
        <f>L93+L91</f>
        <v>7200000</v>
      </c>
      <c r="M94" s="225">
        <f aca="true" t="shared" si="4" ref="M94:S94">M93+M91</f>
        <v>22600000</v>
      </c>
      <c r="N94" s="225">
        <f t="shared" si="4"/>
        <v>0</v>
      </c>
      <c r="O94" s="225">
        <f t="shared" si="4"/>
        <v>200000</v>
      </c>
      <c r="P94" s="225">
        <f t="shared" si="4"/>
        <v>800000</v>
      </c>
      <c r="Q94" s="225">
        <f t="shared" si="4"/>
        <v>0</v>
      </c>
      <c r="R94" s="225">
        <f t="shared" si="4"/>
        <v>0</v>
      </c>
      <c r="S94" s="226">
        <f t="shared" si="4"/>
        <v>0</v>
      </c>
      <c r="T94" s="227">
        <f>T92+T90</f>
        <v>29800000</v>
      </c>
    </row>
    <row r="95" spans="1:20" s="195" customFormat="1" ht="20.25" customHeight="1" thickBot="1">
      <c r="A95" s="189"/>
      <c r="B95" s="190"/>
      <c r="C95" s="199" t="s">
        <v>462</v>
      </c>
      <c r="D95" s="200"/>
      <c r="E95" s="200"/>
      <c r="F95" s="200"/>
      <c r="G95" s="200"/>
      <c r="H95" s="191"/>
      <c r="I95" s="191"/>
      <c r="J95" s="191"/>
      <c r="K95" s="189"/>
      <c r="L95" s="189"/>
      <c r="M95" s="192"/>
      <c r="N95" s="193"/>
      <c r="O95" s="193"/>
      <c r="P95" s="193"/>
      <c r="Q95" s="193"/>
      <c r="R95" s="193"/>
      <c r="S95" s="193"/>
      <c r="T95" s="241"/>
    </row>
    <row r="96" spans="1:21" s="140" customFormat="1" ht="34.5" customHeight="1" thickBot="1">
      <c r="A96" s="712"/>
      <c r="B96" s="141"/>
      <c r="C96" s="526" t="s">
        <v>4</v>
      </c>
      <c r="D96" s="527"/>
      <c r="E96" s="527"/>
      <c r="F96" s="527"/>
      <c r="G96" s="527"/>
      <c r="H96" s="527"/>
      <c r="I96" s="527"/>
      <c r="J96" s="527"/>
      <c r="K96" s="527"/>
      <c r="L96" s="527"/>
      <c r="M96" s="120"/>
      <c r="N96" s="120"/>
      <c r="O96" s="120"/>
      <c r="P96" s="120"/>
      <c r="Q96" s="120"/>
      <c r="R96" s="120"/>
      <c r="S96" s="120"/>
      <c r="T96" s="714">
        <v>30000</v>
      </c>
      <c r="U96" s="121"/>
    </row>
    <row r="97" spans="1:21" s="143" customFormat="1" ht="45.75" customHeight="1" thickBot="1">
      <c r="A97" s="713"/>
      <c r="B97" s="43"/>
      <c r="C97" s="114"/>
      <c r="D97" s="716" t="s">
        <v>264</v>
      </c>
      <c r="E97" s="716"/>
      <c r="F97" s="716"/>
      <c r="G97" s="717"/>
      <c r="H97" s="147" t="s">
        <v>77</v>
      </c>
      <c r="I97" s="115" t="s">
        <v>347</v>
      </c>
      <c r="J97" s="116">
        <f>65000+30000</f>
        <v>95000</v>
      </c>
      <c r="K97" s="167" t="s">
        <v>302</v>
      </c>
      <c r="L97" s="33">
        <v>30000</v>
      </c>
      <c r="M97" s="35"/>
      <c r="N97" s="35"/>
      <c r="O97" s="35"/>
      <c r="P97" s="35"/>
      <c r="Q97" s="35"/>
      <c r="R97" s="35"/>
      <c r="S97" s="35"/>
      <c r="T97" s="715"/>
      <c r="U97" s="117"/>
    </row>
    <row r="98" spans="1:20" s="134" customFormat="1" ht="32.25" customHeight="1" thickBot="1">
      <c r="A98" s="67"/>
      <c r="B98" s="133"/>
      <c r="C98" s="737" t="s">
        <v>518</v>
      </c>
      <c r="D98" s="738"/>
      <c r="E98" s="738"/>
      <c r="F98" s="738"/>
      <c r="G98" s="738"/>
      <c r="H98" s="738"/>
      <c r="I98" s="739"/>
      <c r="J98" s="210">
        <f>+J97</f>
        <v>95000</v>
      </c>
      <c r="K98" s="211" t="s">
        <v>302</v>
      </c>
      <c r="L98" s="224">
        <f aca="true" t="shared" si="5" ref="L98:S98">L97</f>
        <v>30000</v>
      </c>
      <c r="M98" s="225">
        <f t="shared" si="5"/>
        <v>0</v>
      </c>
      <c r="N98" s="225">
        <f t="shared" si="5"/>
        <v>0</v>
      </c>
      <c r="O98" s="225">
        <f t="shared" si="5"/>
        <v>0</v>
      </c>
      <c r="P98" s="225">
        <f t="shared" si="5"/>
        <v>0</v>
      </c>
      <c r="Q98" s="225">
        <f t="shared" si="5"/>
        <v>0</v>
      </c>
      <c r="R98" s="225">
        <f t="shared" si="5"/>
        <v>0</v>
      </c>
      <c r="S98" s="226">
        <f t="shared" si="5"/>
        <v>0</v>
      </c>
      <c r="T98" s="227">
        <f>T96</f>
        <v>30000</v>
      </c>
    </row>
    <row r="99" spans="1:20" s="195" customFormat="1" ht="20.25" customHeight="1" thickBot="1">
      <c r="A99" s="189"/>
      <c r="B99" s="190"/>
      <c r="C99" s="459" t="s">
        <v>435</v>
      </c>
      <c r="D99" s="455"/>
      <c r="E99" s="455"/>
      <c r="F99" s="455"/>
      <c r="G99" s="455"/>
      <c r="H99" s="455"/>
      <c r="I99" s="455"/>
      <c r="J99" s="455"/>
      <c r="K99" s="455"/>
      <c r="L99" s="189"/>
      <c r="M99" s="192"/>
      <c r="N99" s="193"/>
      <c r="O99" s="193"/>
      <c r="P99" s="193"/>
      <c r="Q99" s="193"/>
      <c r="R99" s="193"/>
      <c r="S99" s="193"/>
      <c r="T99" s="241"/>
    </row>
    <row r="100" spans="1:21" s="140" customFormat="1" ht="25.5" customHeight="1" thickBot="1">
      <c r="A100" s="712"/>
      <c r="B100" s="141"/>
      <c r="C100" s="197" t="s">
        <v>453</v>
      </c>
      <c r="D100" s="212"/>
      <c r="E100" s="212"/>
      <c r="F100" s="212"/>
      <c r="G100" s="212"/>
      <c r="H100" s="212"/>
      <c r="I100" s="212"/>
      <c r="J100" s="375"/>
      <c r="K100" s="120"/>
      <c r="L100" s="120"/>
      <c r="M100" s="120"/>
      <c r="N100" s="120"/>
      <c r="O100" s="120"/>
      <c r="P100" s="120"/>
      <c r="Q100" s="120"/>
      <c r="R100" s="120"/>
      <c r="S100" s="120"/>
      <c r="T100" s="714">
        <v>4000000</v>
      </c>
      <c r="U100" s="121"/>
    </row>
    <row r="101" spans="1:21" s="143" customFormat="1" ht="54.75" customHeight="1" thickBot="1">
      <c r="A101" s="713"/>
      <c r="B101" s="43"/>
      <c r="C101" s="162"/>
      <c r="D101" s="730" t="s">
        <v>486</v>
      </c>
      <c r="E101" s="730"/>
      <c r="F101" s="730"/>
      <c r="G101" s="731"/>
      <c r="H101" s="163" t="s">
        <v>487</v>
      </c>
      <c r="I101" s="163" t="s">
        <v>452</v>
      </c>
      <c r="J101" s="164">
        <v>12000000</v>
      </c>
      <c r="K101" s="163" t="s">
        <v>302</v>
      </c>
      <c r="L101" s="100">
        <v>2000000</v>
      </c>
      <c r="M101" s="101">
        <v>2000000</v>
      </c>
      <c r="N101" s="101">
        <v>1000000</v>
      </c>
      <c r="O101" s="101">
        <v>4500000</v>
      </c>
      <c r="P101" s="101">
        <v>2000000</v>
      </c>
      <c r="Q101" s="101"/>
      <c r="R101" s="101"/>
      <c r="S101" s="101"/>
      <c r="T101" s="715"/>
      <c r="U101" s="117"/>
    </row>
    <row r="102" spans="1:21" s="140" customFormat="1" ht="25.5" customHeight="1" thickBot="1">
      <c r="A102" s="712"/>
      <c r="B102" s="141"/>
      <c r="C102" s="197" t="s">
        <v>568</v>
      </c>
      <c r="D102" s="212"/>
      <c r="E102" s="212"/>
      <c r="F102" s="212"/>
      <c r="G102" s="212"/>
      <c r="H102" s="212"/>
      <c r="I102" s="212"/>
      <c r="J102" s="375"/>
      <c r="K102" s="120"/>
      <c r="L102" s="120"/>
      <c r="M102" s="120"/>
      <c r="N102" s="120"/>
      <c r="O102" s="120"/>
      <c r="P102" s="120"/>
      <c r="Q102" s="120"/>
      <c r="R102" s="120"/>
      <c r="S102" s="120"/>
      <c r="T102" s="714">
        <v>950000</v>
      </c>
      <c r="U102" s="121"/>
    </row>
    <row r="103" spans="1:21" s="143" customFormat="1" ht="54.75" customHeight="1" thickBot="1">
      <c r="A103" s="713"/>
      <c r="B103" s="43"/>
      <c r="C103" s="114"/>
      <c r="D103" s="734" t="s">
        <v>580</v>
      </c>
      <c r="E103" s="734"/>
      <c r="F103" s="734"/>
      <c r="G103" s="735"/>
      <c r="H103" s="115" t="s">
        <v>569</v>
      </c>
      <c r="I103" s="115" t="s">
        <v>452</v>
      </c>
      <c r="J103" s="116">
        <v>100221000</v>
      </c>
      <c r="K103" s="115" t="s">
        <v>302</v>
      </c>
      <c r="L103" s="33">
        <v>350000</v>
      </c>
      <c r="M103" s="35">
        <v>600000</v>
      </c>
      <c r="N103" s="35">
        <v>1500000</v>
      </c>
      <c r="O103" s="35">
        <v>4100000</v>
      </c>
      <c r="P103" s="35">
        <v>3200000</v>
      </c>
      <c r="Q103" s="35"/>
      <c r="R103" s="35"/>
      <c r="S103" s="35"/>
      <c r="T103" s="715"/>
      <c r="U103" s="117"/>
    </row>
    <row r="104" spans="1:21" s="140" customFormat="1" ht="22.5" customHeight="1" thickBot="1">
      <c r="A104" s="712"/>
      <c r="B104" s="141"/>
      <c r="C104" s="197" t="s">
        <v>473</v>
      </c>
      <c r="D104" s="212"/>
      <c r="E104" s="212"/>
      <c r="F104" s="212"/>
      <c r="G104" s="212"/>
      <c r="H104" s="212"/>
      <c r="I104" s="212"/>
      <c r="J104" s="375"/>
      <c r="K104" s="120"/>
      <c r="L104" s="120"/>
      <c r="M104" s="120"/>
      <c r="N104" s="120"/>
      <c r="O104" s="120"/>
      <c r="P104" s="120"/>
      <c r="Q104" s="120"/>
      <c r="R104" s="120"/>
      <c r="S104" s="120"/>
      <c r="T104" s="714">
        <v>160000</v>
      </c>
      <c r="U104" s="121"/>
    </row>
    <row r="105" spans="1:21" s="143" customFormat="1" ht="46.5" customHeight="1" thickBot="1">
      <c r="A105" s="713"/>
      <c r="B105" s="43"/>
      <c r="C105" s="114"/>
      <c r="D105" s="716" t="s">
        <v>474</v>
      </c>
      <c r="E105" s="716"/>
      <c r="F105" s="716"/>
      <c r="G105" s="717"/>
      <c r="H105" s="147" t="s">
        <v>295</v>
      </c>
      <c r="I105" s="147" t="s">
        <v>444</v>
      </c>
      <c r="J105" s="168">
        <v>160000</v>
      </c>
      <c r="K105" s="147" t="s">
        <v>297</v>
      </c>
      <c r="L105" s="33">
        <v>20000</v>
      </c>
      <c r="M105" s="35">
        <v>80000</v>
      </c>
      <c r="N105" s="35">
        <v>60000</v>
      </c>
      <c r="O105" s="35"/>
      <c r="P105" s="35"/>
      <c r="Q105" s="35"/>
      <c r="R105" s="35"/>
      <c r="S105" s="35"/>
      <c r="T105" s="715"/>
      <c r="U105" s="117"/>
    </row>
    <row r="106" spans="1:21" s="140" customFormat="1" ht="26.25" customHeight="1" thickBot="1">
      <c r="A106" s="712"/>
      <c r="B106" s="141"/>
      <c r="C106" s="197" t="s">
        <v>475</v>
      </c>
      <c r="D106" s="212"/>
      <c r="E106" s="212"/>
      <c r="F106" s="212"/>
      <c r="G106" s="212"/>
      <c r="H106" s="212"/>
      <c r="I106" s="212"/>
      <c r="J106" s="375"/>
      <c r="K106" s="120"/>
      <c r="L106" s="120"/>
      <c r="M106" s="120"/>
      <c r="N106" s="120"/>
      <c r="O106" s="120"/>
      <c r="P106" s="120"/>
      <c r="Q106" s="120"/>
      <c r="R106" s="120"/>
      <c r="S106" s="120"/>
      <c r="T106" s="714">
        <v>14583</v>
      </c>
      <c r="U106" s="121"/>
    </row>
    <row r="107" spans="1:21" s="143" customFormat="1" ht="32.25" customHeight="1" thickBot="1">
      <c r="A107" s="713"/>
      <c r="B107" s="43"/>
      <c r="C107" s="114"/>
      <c r="D107" s="716" t="s">
        <v>521</v>
      </c>
      <c r="E107" s="716"/>
      <c r="F107" s="716"/>
      <c r="G107" s="717"/>
      <c r="H107" s="169" t="s">
        <v>295</v>
      </c>
      <c r="I107" s="153" t="s">
        <v>444</v>
      </c>
      <c r="J107" s="170">
        <v>14583</v>
      </c>
      <c r="K107" s="115" t="s">
        <v>297</v>
      </c>
      <c r="L107" s="57">
        <v>7000</v>
      </c>
      <c r="M107" s="58">
        <v>7000</v>
      </c>
      <c r="N107" s="58">
        <v>583</v>
      </c>
      <c r="O107" s="35"/>
      <c r="P107" s="35"/>
      <c r="Q107" s="35"/>
      <c r="R107" s="35"/>
      <c r="S107" s="35"/>
      <c r="T107" s="715"/>
      <c r="U107" s="117"/>
    </row>
    <row r="108" spans="1:21" s="140" customFormat="1" ht="26.25" customHeight="1" thickBot="1">
      <c r="A108" s="712"/>
      <c r="B108" s="141"/>
      <c r="C108" s="197" t="s">
        <v>477</v>
      </c>
      <c r="D108" s="212"/>
      <c r="E108" s="212"/>
      <c r="F108" s="212"/>
      <c r="G108" s="212"/>
      <c r="H108" s="212"/>
      <c r="I108" s="212"/>
      <c r="J108" s="375"/>
      <c r="K108" s="120"/>
      <c r="L108" s="120"/>
      <c r="M108" s="120"/>
      <c r="N108" s="120"/>
      <c r="O108" s="120"/>
      <c r="P108" s="120"/>
      <c r="Q108" s="120"/>
      <c r="R108" s="120"/>
      <c r="S108" s="120"/>
      <c r="T108" s="714">
        <v>92400</v>
      </c>
      <c r="U108" s="121"/>
    </row>
    <row r="109" spans="1:21" s="143" customFormat="1" ht="32.25" customHeight="1" thickBot="1">
      <c r="A109" s="713"/>
      <c r="B109" s="43"/>
      <c r="C109" s="114"/>
      <c r="D109" s="716" t="s">
        <v>476</v>
      </c>
      <c r="E109" s="716"/>
      <c r="F109" s="716"/>
      <c r="G109" s="717"/>
      <c r="H109" s="157" t="s">
        <v>295</v>
      </c>
      <c r="I109" s="147" t="s">
        <v>327</v>
      </c>
      <c r="J109" s="371">
        <v>92400</v>
      </c>
      <c r="K109" s="147" t="s">
        <v>297</v>
      </c>
      <c r="L109" s="59">
        <v>85400</v>
      </c>
      <c r="M109" s="60">
        <v>7000</v>
      </c>
      <c r="N109" s="35"/>
      <c r="O109" s="35"/>
      <c r="P109" s="35"/>
      <c r="Q109" s="35"/>
      <c r="R109" s="35"/>
      <c r="S109" s="35"/>
      <c r="T109" s="715"/>
      <c r="U109" s="117"/>
    </row>
    <row r="110" spans="1:20" s="134" customFormat="1" ht="32.25" customHeight="1">
      <c r="A110" s="68"/>
      <c r="B110" s="133"/>
      <c r="C110" s="743" t="s">
        <v>518</v>
      </c>
      <c r="D110" s="744"/>
      <c r="E110" s="744"/>
      <c r="F110" s="744"/>
      <c r="G110" s="744"/>
      <c r="H110" s="744"/>
      <c r="I110" s="745"/>
      <c r="J110" s="706">
        <f>J109+J107+J105+J103+J101</f>
        <v>112487983</v>
      </c>
      <c r="K110" s="213" t="s">
        <v>297</v>
      </c>
      <c r="L110" s="214">
        <f>L109+L107+L105</f>
        <v>112400</v>
      </c>
      <c r="M110" s="215">
        <f aca="true" t="shared" si="6" ref="M110:S110">M109+M107+M105</f>
        <v>94000</v>
      </c>
      <c r="N110" s="215">
        <f t="shared" si="6"/>
        <v>60583</v>
      </c>
      <c r="O110" s="215">
        <f t="shared" si="6"/>
        <v>0</v>
      </c>
      <c r="P110" s="215">
        <f t="shared" si="6"/>
        <v>0</v>
      </c>
      <c r="Q110" s="215">
        <f t="shared" si="6"/>
        <v>0</v>
      </c>
      <c r="R110" s="215">
        <f t="shared" si="6"/>
        <v>0</v>
      </c>
      <c r="S110" s="215">
        <f t="shared" si="6"/>
        <v>0</v>
      </c>
      <c r="T110" s="709">
        <f>T108+T106+T104+T100+T102</f>
        <v>5216983</v>
      </c>
    </row>
    <row r="111" spans="1:20" s="134" customFormat="1" ht="32.25" customHeight="1">
      <c r="A111" s="68"/>
      <c r="B111" s="133"/>
      <c r="C111" s="746"/>
      <c r="D111" s="747"/>
      <c r="E111" s="747"/>
      <c r="F111" s="747"/>
      <c r="G111" s="747"/>
      <c r="H111" s="747"/>
      <c r="I111" s="748"/>
      <c r="J111" s="707"/>
      <c r="K111" s="217" t="s">
        <v>302</v>
      </c>
      <c r="L111" s="218">
        <f>L101+L103</f>
        <v>2350000</v>
      </c>
      <c r="M111" s="219">
        <f aca="true" t="shared" si="7" ref="M111:S111">M101+M103</f>
        <v>2600000</v>
      </c>
      <c r="N111" s="219">
        <f t="shared" si="7"/>
        <v>2500000</v>
      </c>
      <c r="O111" s="219">
        <f t="shared" si="7"/>
        <v>8600000</v>
      </c>
      <c r="P111" s="219">
        <f t="shared" si="7"/>
        <v>5200000</v>
      </c>
      <c r="Q111" s="219">
        <f t="shared" si="7"/>
        <v>0</v>
      </c>
      <c r="R111" s="219">
        <f t="shared" si="7"/>
        <v>0</v>
      </c>
      <c r="S111" s="219">
        <f t="shared" si="7"/>
        <v>0</v>
      </c>
      <c r="T111" s="710"/>
    </row>
    <row r="112" spans="1:20" s="135" customFormat="1" ht="32.25" customHeight="1" thickBot="1">
      <c r="A112" s="65"/>
      <c r="B112" s="133"/>
      <c r="C112" s="749"/>
      <c r="D112" s="750"/>
      <c r="E112" s="750"/>
      <c r="F112" s="750"/>
      <c r="G112" s="750"/>
      <c r="H112" s="750"/>
      <c r="I112" s="751"/>
      <c r="J112" s="708"/>
      <c r="K112" s="220" t="s">
        <v>301</v>
      </c>
      <c r="L112" s="221">
        <f>SUM(L110:L111)</f>
        <v>2462400</v>
      </c>
      <c r="M112" s="222">
        <f aca="true" t="shared" si="8" ref="M112:S112">SUM(M110:M111)</f>
        <v>2694000</v>
      </c>
      <c r="N112" s="222">
        <f t="shared" si="8"/>
        <v>2560583</v>
      </c>
      <c r="O112" s="222">
        <f t="shared" si="8"/>
        <v>8600000</v>
      </c>
      <c r="P112" s="222">
        <f t="shared" si="8"/>
        <v>5200000</v>
      </c>
      <c r="Q112" s="222">
        <f t="shared" si="8"/>
        <v>0</v>
      </c>
      <c r="R112" s="222">
        <f t="shared" si="8"/>
        <v>0</v>
      </c>
      <c r="S112" s="223">
        <f t="shared" si="8"/>
        <v>0</v>
      </c>
      <c r="T112" s="711"/>
    </row>
    <row r="113" spans="1:20" s="195" customFormat="1" ht="20.25" customHeight="1" thickBot="1">
      <c r="A113" s="189"/>
      <c r="B113" s="190"/>
      <c r="C113" s="459" t="s">
        <v>308</v>
      </c>
      <c r="D113" s="455" t="s">
        <v>309</v>
      </c>
      <c r="E113" s="455"/>
      <c r="F113" s="455"/>
      <c r="G113" s="455"/>
      <c r="H113" s="191"/>
      <c r="I113" s="191"/>
      <c r="J113" s="191"/>
      <c r="K113" s="189"/>
      <c r="L113" s="189"/>
      <c r="M113" s="192"/>
      <c r="N113" s="193"/>
      <c r="O113" s="193"/>
      <c r="P113" s="193"/>
      <c r="Q113" s="193"/>
      <c r="R113" s="193"/>
      <c r="S113" s="193"/>
      <c r="T113" s="241"/>
    </row>
    <row r="114" spans="1:21" s="140" customFormat="1" ht="26.25" customHeight="1" thickBot="1">
      <c r="A114" s="712"/>
      <c r="B114" s="230"/>
      <c r="C114" s="197" t="s">
        <v>459</v>
      </c>
      <c r="D114" s="212"/>
      <c r="E114" s="212"/>
      <c r="F114" s="212"/>
      <c r="G114" s="212"/>
      <c r="H114" s="212"/>
      <c r="I114" s="212"/>
      <c r="J114" s="375"/>
      <c r="K114" s="120"/>
      <c r="L114" s="120"/>
      <c r="M114" s="120"/>
      <c r="N114" s="120"/>
      <c r="O114" s="120"/>
      <c r="P114" s="120"/>
      <c r="Q114" s="120"/>
      <c r="R114" s="120"/>
      <c r="S114" s="186"/>
      <c r="T114" s="714">
        <v>500000</v>
      </c>
      <c r="U114" s="121"/>
    </row>
    <row r="115" spans="1:21" s="143" customFormat="1" ht="84" customHeight="1" thickBot="1">
      <c r="A115" s="713"/>
      <c r="B115" s="43"/>
      <c r="C115" s="114"/>
      <c r="D115" s="716" t="s">
        <v>432</v>
      </c>
      <c r="E115" s="716"/>
      <c r="F115" s="716"/>
      <c r="G115" s="717"/>
      <c r="H115" s="147" t="s">
        <v>295</v>
      </c>
      <c r="I115" s="115" t="s">
        <v>327</v>
      </c>
      <c r="J115" s="116">
        <v>500000</v>
      </c>
      <c r="K115" s="115" t="s">
        <v>297</v>
      </c>
      <c r="L115" s="33">
        <v>250000</v>
      </c>
      <c r="M115" s="35">
        <v>250000</v>
      </c>
      <c r="N115" s="35"/>
      <c r="O115" s="35"/>
      <c r="P115" s="35"/>
      <c r="Q115" s="35"/>
      <c r="R115" s="35"/>
      <c r="S115" s="35"/>
      <c r="T115" s="715"/>
      <c r="U115" s="117"/>
    </row>
    <row r="116" spans="1:20" s="134" customFormat="1" ht="32.25" customHeight="1" thickBot="1">
      <c r="A116" s="67"/>
      <c r="B116" s="133"/>
      <c r="C116" s="737" t="s">
        <v>518</v>
      </c>
      <c r="D116" s="738"/>
      <c r="E116" s="738"/>
      <c r="F116" s="738"/>
      <c r="G116" s="738"/>
      <c r="H116" s="738"/>
      <c r="I116" s="739"/>
      <c r="J116" s="210">
        <f>+J115</f>
        <v>500000</v>
      </c>
      <c r="K116" s="211" t="s">
        <v>297</v>
      </c>
      <c r="L116" s="224">
        <f aca="true" t="shared" si="9" ref="L116:S116">L115</f>
        <v>250000</v>
      </c>
      <c r="M116" s="225">
        <f t="shared" si="9"/>
        <v>250000</v>
      </c>
      <c r="N116" s="225">
        <f t="shared" si="9"/>
        <v>0</v>
      </c>
      <c r="O116" s="225">
        <f t="shared" si="9"/>
        <v>0</v>
      </c>
      <c r="P116" s="225">
        <f t="shared" si="9"/>
        <v>0</v>
      </c>
      <c r="Q116" s="225">
        <f t="shared" si="9"/>
        <v>0</v>
      </c>
      <c r="R116" s="225">
        <f t="shared" si="9"/>
        <v>0</v>
      </c>
      <c r="S116" s="226">
        <f t="shared" si="9"/>
        <v>0</v>
      </c>
      <c r="T116" s="227">
        <f>T114</f>
        <v>500000</v>
      </c>
    </row>
    <row r="117" spans="1:20" s="195" customFormat="1" ht="20.25" customHeight="1" thickBot="1">
      <c r="A117" s="189"/>
      <c r="B117" s="190"/>
      <c r="C117" s="459" t="s">
        <v>460</v>
      </c>
      <c r="D117" s="455"/>
      <c r="E117" s="455"/>
      <c r="F117" s="455"/>
      <c r="G117" s="455"/>
      <c r="H117" s="191"/>
      <c r="I117" s="191"/>
      <c r="J117" s="191"/>
      <c r="K117" s="189"/>
      <c r="L117" s="189"/>
      <c r="M117" s="192"/>
      <c r="N117" s="193"/>
      <c r="O117" s="193"/>
      <c r="P117" s="193"/>
      <c r="Q117" s="193"/>
      <c r="R117" s="193"/>
      <c r="S117" s="193"/>
      <c r="T117" s="241"/>
    </row>
    <row r="118" spans="1:21" s="140" customFormat="1" ht="45.75" customHeight="1" thickBot="1">
      <c r="A118" s="712"/>
      <c r="B118" s="141"/>
      <c r="C118" s="526" t="s">
        <v>40</v>
      </c>
      <c r="D118" s="527"/>
      <c r="E118" s="527"/>
      <c r="F118" s="527"/>
      <c r="G118" s="527"/>
      <c r="H118" s="527"/>
      <c r="I118" s="527"/>
      <c r="J118" s="527"/>
      <c r="K118" s="527"/>
      <c r="L118" s="527"/>
      <c r="M118" s="527"/>
      <c r="N118" s="196"/>
      <c r="O118" s="196"/>
      <c r="P118" s="196"/>
      <c r="Q118" s="120"/>
      <c r="R118" s="120"/>
      <c r="S118" s="120"/>
      <c r="T118" s="714">
        <f>SUM(L119:M119)</f>
        <v>4000000</v>
      </c>
      <c r="U118" s="121"/>
    </row>
    <row r="119" spans="1:21" s="143" customFormat="1" ht="47.25" customHeight="1" thickBot="1">
      <c r="A119" s="713"/>
      <c r="B119" s="43"/>
      <c r="C119" s="114"/>
      <c r="D119" s="772" t="s">
        <v>5</v>
      </c>
      <c r="E119" s="716"/>
      <c r="F119" s="716"/>
      <c r="G119" s="717"/>
      <c r="H119" s="171" t="s">
        <v>152</v>
      </c>
      <c r="I119" s="172" t="s">
        <v>327</v>
      </c>
      <c r="J119" s="376">
        <v>4000000</v>
      </c>
      <c r="K119" s="115" t="s">
        <v>302</v>
      </c>
      <c r="L119" s="350">
        <v>2000000</v>
      </c>
      <c r="M119" s="350">
        <v>2000000</v>
      </c>
      <c r="N119" s="35"/>
      <c r="O119" s="35"/>
      <c r="P119" s="35"/>
      <c r="Q119" s="35"/>
      <c r="R119" s="35"/>
      <c r="S119" s="35"/>
      <c r="T119" s="715"/>
      <c r="U119" s="117"/>
    </row>
    <row r="120" spans="1:20" s="134" customFormat="1" ht="32.25" customHeight="1" thickBot="1">
      <c r="A120" s="67"/>
      <c r="B120" s="133"/>
      <c r="C120" s="737" t="s">
        <v>518</v>
      </c>
      <c r="D120" s="738"/>
      <c r="E120" s="738"/>
      <c r="F120" s="738"/>
      <c r="G120" s="738"/>
      <c r="H120" s="738"/>
      <c r="I120" s="739"/>
      <c r="J120" s="210">
        <f>+J119</f>
        <v>4000000</v>
      </c>
      <c r="K120" s="211" t="s">
        <v>302</v>
      </c>
      <c r="L120" s="224">
        <f aca="true" t="shared" si="10" ref="L120:S120">L119</f>
        <v>2000000</v>
      </c>
      <c r="M120" s="225">
        <f t="shared" si="10"/>
        <v>2000000</v>
      </c>
      <c r="N120" s="225">
        <f t="shared" si="10"/>
        <v>0</v>
      </c>
      <c r="O120" s="225">
        <f t="shared" si="10"/>
        <v>0</v>
      </c>
      <c r="P120" s="225">
        <f t="shared" si="10"/>
        <v>0</v>
      </c>
      <c r="Q120" s="225">
        <f t="shared" si="10"/>
        <v>0</v>
      </c>
      <c r="R120" s="225">
        <f t="shared" si="10"/>
        <v>0</v>
      </c>
      <c r="S120" s="226">
        <f t="shared" si="10"/>
        <v>0</v>
      </c>
      <c r="T120" s="227">
        <f>T118</f>
        <v>4000000</v>
      </c>
    </row>
    <row r="121" spans="1:20" s="195" customFormat="1" ht="20.25" customHeight="1" thickBot="1">
      <c r="A121" s="189"/>
      <c r="B121" s="269"/>
      <c r="C121" s="459" t="s">
        <v>314</v>
      </c>
      <c r="D121" s="455"/>
      <c r="E121" s="455"/>
      <c r="F121" s="455"/>
      <c r="G121" s="455"/>
      <c r="H121" s="191"/>
      <c r="I121" s="191"/>
      <c r="J121" s="191"/>
      <c r="K121" s="189"/>
      <c r="L121" s="189"/>
      <c r="M121" s="192"/>
      <c r="N121" s="193"/>
      <c r="O121" s="193"/>
      <c r="P121" s="193"/>
      <c r="Q121" s="193"/>
      <c r="R121" s="193"/>
      <c r="S121" s="193"/>
      <c r="T121" s="241"/>
    </row>
    <row r="122" spans="1:21" s="140" customFormat="1" ht="26.25" customHeight="1" thickBot="1">
      <c r="A122" s="712"/>
      <c r="B122" s="230"/>
      <c r="C122" s="197" t="s">
        <v>255</v>
      </c>
      <c r="D122" s="212"/>
      <c r="E122" s="212"/>
      <c r="F122" s="212"/>
      <c r="G122" s="212"/>
      <c r="H122" s="212"/>
      <c r="I122" s="212"/>
      <c r="J122" s="375"/>
      <c r="K122" s="120"/>
      <c r="L122" s="120"/>
      <c r="M122" s="120"/>
      <c r="N122" s="120"/>
      <c r="O122" s="120"/>
      <c r="P122" s="120"/>
      <c r="Q122" s="120"/>
      <c r="R122" s="120"/>
      <c r="S122" s="120"/>
      <c r="T122" s="714">
        <v>9100000</v>
      </c>
      <c r="U122" s="121"/>
    </row>
    <row r="123" spans="1:21" s="143" customFormat="1" ht="45" customHeight="1" thickBot="1">
      <c r="A123" s="713"/>
      <c r="B123" s="270"/>
      <c r="C123" s="162"/>
      <c r="D123" s="730" t="s">
        <v>138</v>
      </c>
      <c r="E123" s="730"/>
      <c r="F123" s="730"/>
      <c r="G123" s="733"/>
      <c r="H123" s="422" t="s">
        <v>153</v>
      </c>
      <c r="I123" s="422" t="s">
        <v>560</v>
      </c>
      <c r="J123" s="164">
        <v>29007900</v>
      </c>
      <c r="K123" s="422" t="s">
        <v>302</v>
      </c>
      <c r="L123" s="426">
        <v>10600000</v>
      </c>
      <c r="M123" s="101"/>
      <c r="N123" s="101"/>
      <c r="O123" s="101"/>
      <c r="P123" s="101"/>
      <c r="Q123" s="101"/>
      <c r="R123" s="101"/>
      <c r="S123" s="101"/>
      <c r="T123" s="715"/>
      <c r="U123" s="117"/>
    </row>
    <row r="124" spans="1:21" s="140" customFormat="1" ht="26.25" customHeight="1" thickBot="1">
      <c r="A124" s="712"/>
      <c r="B124" s="230"/>
      <c r="C124" s="197" t="s">
        <v>256</v>
      </c>
      <c r="D124" s="212"/>
      <c r="E124" s="212"/>
      <c r="F124" s="212"/>
      <c r="G124" s="212"/>
      <c r="H124" s="212"/>
      <c r="I124" s="212"/>
      <c r="J124" s="375"/>
      <c r="K124" s="120"/>
      <c r="L124" s="120"/>
      <c r="M124" s="120"/>
      <c r="N124" s="120"/>
      <c r="O124" s="120"/>
      <c r="P124" s="120"/>
      <c r="Q124" s="120"/>
      <c r="R124" s="120"/>
      <c r="S124" s="120"/>
      <c r="T124" s="714">
        <v>250000</v>
      </c>
      <c r="U124" s="121"/>
    </row>
    <row r="125" spans="1:21" s="143" customFormat="1" ht="47.25" customHeight="1" thickBot="1">
      <c r="A125" s="713"/>
      <c r="B125" s="270"/>
      <c r="C125" s="114"/>
      <c r="D125" s="716" t="s">
        <v>138</v>
      </c>
      <c r="E125" s="716"/>
      <c r="F125" s="716"/>
      <c r="G125" s="732"/>
      <c r="H125" s="173" t="s">
        <v>154</v>
      </c>
      <c r="I125" s="173" t="s">
        <v>306</v>
      </c>
      <c r="J125" s="116">
        <v>1683700</v>
      </c>
      <c r="K125" s="173" t="s">
        <v>302</v>
      </c>
      <c r="L125" s="423">
        <v>250000</v>
      </c>
      <c r="M125" s="35"/>
      <c r="N125" s="35"/>
      <c r="O125" s="35"/>
      <c r="P125" s="35"/>
      <c r="Q125" s="35"/>
      <c r="R125" s="35"/>
      <c r="S125" s="35"/>
      <c r="T125" s="715"/>
      <c r="U125" s="117"/>
    </row>
    <row r="126" spans="1:21" s="140" customFormat="1" ht="26.25" customHeight="1" thickBot="1">
      <c r="A126" s="712"/>
      <c r="B126" s="230"/>
      <c r="C126" s="197" t="s">
        <v>257</v>
      </c>
      <c r="D126" s="212"/>
      <c r="E126" s="212"/>
      <c r="F126" s="212"/>
      <c r="G126" s="212"/>
      <c r="H126" s="212"/>
      <c r="I126" s="212"/>
      <c r="J126" s="375"/>
      <c r="K126" s="120"/>
      <c r="L126" s="120"/>
      <c r="M126" s="120"/>
      <c r="N126" s="120"/>
      <c r="O126" s="120"/>
      <c r="P126" s="120"/>
      <c r="Q126" s="120"/>
      <c r="R126" s="120"/>
      <c r="S126" s="120"/>
      <c r="T126" s="714">
        <v>4600000</v>
      </c>
      <c r="U126" s="121"/>
    </row>
    <row r="127" spans="1:21" s="143" customFormat="1" ht="45" customHeight="1" thickBot="1">
      <c r="A127" s="713"/>
      <c r="B127" s="270"/>
      <c r="C127" s="114"/>
      <c r="D127" s="716" t="s">
        <v>138</v>
      </c>
      <c r="E127" s="716"/>
      <c r="F127" s="716"/>
      <c r="G127" s="732"/>
      <c r="H127" s="173" t="s">
        <v>76</v>
      </c>
      <c r="I127" s="173" t="s">
        <v>296</v>
      </c>
      <c r="J127" s="116">
        <v>4737800</v>
      </c>
      <c r="K127" s="173" t="s">
        <v>302</v>
      </c>
      <c r="L127" s="426">
        <v>1500000</v>
      </c>
      <c r="M127" s="101">
        <v>3100000</v>
      </c>
      <c r="N127" s="35">
        <v>0</v>
      </c>
      <c r="O127" s="35">
        <v>0</v>
      </c>
      <c r="P127" s="35"/>
      <c r="Q127" s="35"/>
      <c r="R127" s="35"/>
      <c r="S127" s="35"/>
      <c r="T127" s="715"/>
      <c r="U127" s="117"/>
    </row>
    <row r="128" spans="1:21" s="140" customFormat="1" ht="26.25" customHeight="1" thickBot="1">
      <c r="A128" s="712"/>
      <c r="B128" s="230"/>
      <c r="C128" s="197" t="s">
        <v>259</v>
      </c>
      <c r="D128" s="197"/>
      <c r="E128" s="197"/>
      <c r="F128" s="197"/>
      <c r="G128" s="197"/>
      <c r="H128" s="197"/>
      <c r="I128" s="197"/>
      <c r="J128" s="372"/>
      <c r="K128" s="120"/>
      <c r="L128" s="120"/>
      <c r="M128" s="120"/>
      <c r="N128" s="120"/>
      <c r="O128" s="120"/>
      <c r="P128" s="120"/>
      <c r="Q128" s="120"/>
      <c r="R128" s="120"/>
      <c r="S128" s="120"/>
      <c r="T128" s="714">
        <v>500000</v>
      </c>
      <c r="U128" s="121"/>
    </row>
    <row r="129" spans="1:21" s="143" customFormat="1" ht="47.25" customHeight="1" thickBot="1">
      <c r="A129" s="713"/>
      <c r="B129" s="270"/>
      <c r="C129" s="114"/>
      <c r="D129" s="716" t="s">
        <v>138</v>
      </c>
      <c r="E129" s="716"/>
      <c r="F129" s="716"/>
      <c r="G129" s="732"/>
      <c r="H129" s="173" t="s">
        <v>155</v>
      </c>
      <c r="I129" s="173" t="s">
        <v>480</v>
      </c>
      <c r="J129" s="116">
        <v>26500000</v>
      </c>
      <c r="K129" s="173" t="s">
        <v>302</v>
      </c>
      <c r="L129" s="423">
        <v>500000</v>
      </c>
      <c r="M129" s="35">
        <v>6000000</v>
      </c>
      <c r="N129" s="35">
        <v>8000000</v>
      </c>
      <c r="O129" s="35">
        <v>12000000</v>
      </c>
      <c r="P129" s="35"/>
      <c r="Q129" s="35"/>
      <c r="R129" s="35"/>
      <c r="S129" s="35"/>
      <c r="T129" s="715"/>
      <c r="U129" s="117"/>
    </row>
    <row r="130" spans="1:21" s="140" customFormat="1" ht="26.25" customHeight="1" thickBot="1">
      <c r="A130" s="712"/>
      <c r="B130" s="230"/>
      <c r="C130" s="197" t="s">
        <v>260</v>
      </c>
      <c r="D130" s="197"/>
      <c r="E130" s="197"/>
      <c r="F130" s="197"/>
      <c r="G130" s="197"/>
      <c r="H130" s="197"/>
      <c r="I130" s="197"/>
      <c r="J130" s="372"/>
      <c r="K130" s="120"/>
      <c r="L130" s="120"/>
      <c r="M130" s="120"/>
      <c r="N130" s="120"/>
      <c r="O130" s="120"/>
      <c r="P130" s="120"/>
      <c r="Q130" s="120"/>
      <c r="R130" s="120"/>
      <c r="S130" s="120"/>
      <c r="T130" s="714">
        <v>50000</v>
      </c>
      <c r="U130" s="121"/>
    </row>
    <row r="131" spans="1:21" s="143" customFormat="1" ht="47.25" customHeight="1" thickBot="1">
      <c r="A131" s="713"/>
      <c r="B131" s="270"/>
      <c r="C131" s="114"/>
      <c r="D131" s="716" t="s">
        <v>41</v>
      </c>
      <c r="E131" s="716"/>
      <c r="F131" s="716"/>
      <c r="G131" s="717"/>
      <c r="H131" s="167" t="s">
        <v>156</v>
      </c>
      <c r="I131" s="174" t="s">
        <v>332</v>
      </c>
      <c r="J131" s="175">
        <v>300000</v>
      </c>
      <c r="K131" s="167" t="s">
        <v>302</v>
      </c>
      <c r="L131" s="424">
        <v>50000</v>
      </c>
      <c r="M131" s="425">
        <v>0</v>
      </c>
      <c r="N131" s="35"/>
      <c r="O131" s="35"/>
      <c r="P131" s="35"/>
      <c r="Q131" s="35"/>
      <c r="R131" s="35"/>
      <c r="S131" s="35"/>
      <c r="T131" s="715"/>
      <c r="U131" s="117"/>
    </row>
    <row r="132" spans="1:21" s="140" customFormat="1" ht="26.25" customHeight="1" thickBot="1">
      <c r="A132" s="712"/>
      <c r="B132" s="230"/>
      <c r="C132" s="197" t="s">
        <v>224</v>
      </c>
      <c r="D132" s="212"/>
      <c r="E132" s="212"/>
      <c r="F132" s="212"/>
      <c r="G132" s="212"/>
      <c r="H132" s="212"/>
      <c r="I132" s="212"/>
      <c r="J132" s="375"/>
      <c r="K132" s="120"/>
      <c r="L132" s="120"/>
      <c r="M132" s="120"/>
      <c r="N132" s="120"/>
      <c r="O132" s="120"/>
      <c r="P132" s="120"/>
      <c r="Q132" s="120"/>
      <c r="R132" s="120"/>
      <c r="S132" s="120"/>
      <c r="T132" s="714">
        <v>2100000</v>
      </c>
      <c r="U132" s="121"/>
    </row>
    <row r="133" spans="1:21" s="143" customFormat="1" ht="45" customHeight="1" thickBot="1">
      <c r="A133" s="713"/>
      <c r="B133" s="270"/>
      <c r="C133" s="114"/>
      <c r="D133" s="716" t="s">
        <v>138</v>
      </c>
      <c r="E133" s="716"/>
      <c r="F133" s="716"/>
      <c r="G133" s="732"/>
      <c r="H133" s="173" t="s">
        <v>225</v>
      </c>
      <c r="I133" s="173" t="s">
        <v>327</v>
      </c>
      <c r="J133" s="116">
        <v>2100000</v>
      </c>
      <c r="K133" s="173" t="s">
        <v>302</v>
      </c>
      <c r="L133" s="423">
        <v>100000</v>
      </c>
      <c r="M133" s="35">
        <v>2000000</v>
      </c>
      <c r="N133" s="35"/>
      <c r="O133" s="35"/>
      <c r="P133" s="35"/>
      <c r="Q133" s="35"/>
      <c r="R133" s="35"/>
      <c r="S133" s="35"/>
      <c r="T133" s="715"/>
      <c r="U133" s="117"/>
    </row>
    <row r="134" spans="1:21" s="140" customFormat="1" ht="26.25" customHeight="1" thickBot="1">
      <c r="A134" s="712"/>
      <c r="B134" s="230"/>
      <c r="C134" s="197" t="s">
        <v>226</v>
      </c>
      <c r="D134" s="212"/>
      <c r="E134" s="212"/>
      <c r="F134" s="212"/>
      <c r="G134" s="212"/>
      <c r="H134" s="212"/>
      <c r="I134" s="212"/>
      <c r="J134" s="375"/>
      <c r="K134" s="120"/>
      <c r="L134" s="120"/>
      <c r="M134" s="120"/>
      <c r="N134" s="120"/>
      <c r="O134" s="120"/>
      <c r="P134" s="120"/>
      <c r="Q134" s="120"/>
      <c r="R134" s="120"/>
      <c r="S134" s="120"/>
      <c r="T134" s="714">
        <v>5120000</v>
      </c>
      <c r="U134" s="121"/>
    </row>
    <row r="135" spans="1:21" s="143" customFormat="1" ht="47.25" customHeight="1" thickBot="1">
      <c r="A135" s="713"/>
      <c r="B135" s="270"/>
      <c r="C135" s="162"/>
      <c r="D135" s="716" t="s">
        <v>138</v>
      </c>
      <c r="E135" s="716"/>
      <c r="F135" s="716"/>
      <c r="G135" s="732"/>
      <c r="H135" s="422" t="s">
        <v>227</v>
      </c>
      <c r="I135" s="422" t="s">
        <v>444</v>
      </c>
      <c r="J135" s="164">
        <v>5120000</v>
      </c>
      <c r="K135" s="422" t="s">
        <v>302</v>
      </c>
      <c r="L135" s="426">
        <v>120000</v>
      </c>
      <c r="M135" s="101">
        <v>2100000</v>
      </c>
      <c r="N135" s="101">
        <v>2900000</v>
      </c>
      <c r="O135" s="101"/>
      <c r="P135" s="101"/>
      <c r="Q135" s="101"/>
      <c r="R135" s="101"/>
      <c r="S135" s="101"/>
      <c r="T135" s="715"/>
      <c r="U135" s="117"/>
    </row>
    <row r="136" spans="1:20" s="134" customFormat="1" ht="32.25" customHeight="1" thickBot="1">
      <c r="A136" s="67"/>
      <c r="B136" s="502"/>
      <c r="C136" s="737" t="s">
        <v>518</v>
      </c>
      <c r="D136" s="738"/>
      <c r="E136" s="738"/>
      <c r="F136" s="738"/>
      <c r="G136" s="738"/>
      <c r="H136" s="738"/>
      <c r="I136" s="739"/>
      <c r="J136" s="210">
        <f>J135+J133+J131+J129+J127+J125+J123</f>
        <v>69449400</v>
      </c>
      <c r="K136" s="211" t="s">
        <v>302</v>
      </c>
      <c r="L136" s="224">
        <f>L131+L129+L127+L125+L123+L133+L135</f>
        <v>13120000</v>
      </c>
      <c r="M136" s="225">
        <f aca="true" t="shared" si="11" ref="M136:S136">M131+M129+M127+M125+M123+M133+M135</f>
        <v>13200000</v>
      </c>
      <c r="N136" s="225">
        <f t="shared" si="11"/>
        <v>10900000</v>
      </c>
      <c r="O136" s="225">
        <f t="shared" si="11"/>
        <v>12000000</v>
      </c>
      <c r="P136" s="225">
        <f t="shared" si="11"/>
        <v>0</v>
      </c>
      <c r="Q136" s="225">
        <f t="shared" si="11"/>
        <v>0</v>
      </c>
      <c r="R136" s="225">
        <f t="shared" si="11"/>
        <v>0</v>
      </c>
      <c r="S136" s="226">
        <f t="shared" si="11"/>
        <v>0</v>
      </c>
      <c r="T136" s="227">
        <f>T130+T128+T126+T124+T122+T132+T134</f>
        <v>21720000</v>
      </c>
    </row>
    <row r="137" spans="1:20" s="195" customFormat="1" ht="20.25" customHeight="1" thickBot="1">
      <c r="A137" s="189"/>
      <c r="B137" s="190"/>
      <c r="C137" s="459" t="s">
        <v>396</v>
      </c>
      <c r="D137" s="455" t="s">
        <v>397</v>
      </c>
      <c r="E137" s="455"/>
      <c r="F137" s="455"/>
      <c r="G137" s="455"/>
      <c r="H137" s="191"/>
      <c r="I137" s="191"/>
      <c r="J137" s="191"/>
      <c r="K137" s="189"/>
      <c r="L137" s="189"/>
      <c r="M137" s="192"/>
      <c r="N137" s="193"/>
      <c r="O137" s="193"/>
      <c r="P137" s="193"/>
      <c r="Q137" s="193"/>
      <c r="R137" s="193"/>
      <c r="S137" s="193"/>
      <c r="T137" s="241"/>
    </row>
    <row r="138" spans="1:21" s="140" customFormat="1" ht="26.25" customHeight="1" thickBot="1">
      <c r="A138" s="712"/>
      <c r="B138" s="141"/>
      <c r="C138" s="197" t="s">
        <v>559</v>
      </c>
      <c r="D138" s="197"/>
      <c r="E138" s="197"/>
      <c r="F138" s="197"/>
      <c r="G138" s="197"/>
      <c r="H138" s="197"/>
      <c r="I138" s="197"/>
      <c r="J138" s="372"/>
      <c r="K138" s="120"/>
      <c r="L138" s="120"/>
      <c r="M138" s="120"/>
      <c r="N138" s="120"/>
      <c r="O138" s="120"/>
      <c r="P138" s="120"/>
      <c r="Q138" s="120"/>
      <c r="R138" s="120"/>
      <c r="S138" s="120"/>
      <c r="T138" s="714">
        <v>60000</v>
      </c>
      <c r="U138" s="121"/>
    </row>
    <row r="139" spans="1:21" s="143" customFormat="1" ht="56.25" customHeight="1" thickBot="1">
      <c r="A139" s="713"/>
      <c r="B139" s="43"/>
      <c r="C139" s="162"/>
      <c r="D139" s="730" t="s">
        <v>129</v>
      </c>
      <c r="E139" s="730"/>
      <c r="F139" s="730"/>
      <c r="G139" s="731"/>
      <c r="H139" s="239" t="s">
        <v>113</v>
      </c>
      <c r="I139" s="163" t="s">
        <v>347</v>
      </c>
      <c r="J139" s="164">
        <v>1033000</v>
      </c>
      <c r="K139" s="163" t="s">
        <v>302</v>
      </c>
      <c r="L139" s="100">
        <v>60000</v>
      </c>
      <c r="M139" s="101"/>
      <c r="N139" s="101"/>
      <c r="O139" s="101"/>
      <c r="P139" s="101"/>
      <c r="Q139" s="101"/>
      <c r="R139" s="101"/>
      <c r="S139" s="101"/>
      <c r="T139" s="715"/>
      <c r="U139" s="117"/>
    </row>
    <row r="140" spans="1:21" s="140" customFormat="1" ht="26.25" customHeight="1" thickBot="1">
      <c r="A140" s="712"/>
      <c r="B140" s="230"/>
      <c r="C140" s="197" t="s">
        <v>561</v>
      </c>
      <c r="D140" s="197"/>
      <c r="E140" s="197"/>
      <c r="F140" s="197"/>
      <c r="G140" s="197"/>
      <c r="H140" s="197"/>
      <c r="I140" s="197"/>
      <c r="J140" s="372"/>
      <c r="K140" s="120"/>
      <c r="L140" s="120"/>
      <c r="M140" s="120"/>
      <c r="N140" s="120"/>
      <c r="O140" s="120"/>
      <c r="P140" s="120"/>
      <c r="Q140" s="120"/>
      <c r="R140" s="120"/>
      <c r="S140" s="120"/>
      <c r="T140" s="714">
        <v>0</v>
      </c>
      <c r="U140" s="121"/>
    </row>
    <row r="141" spans="1:21" s="143" customFormat="1" ht="80.25" customHeight="1" thickBot="1">
      <c r="A141" s="713"/>
      <c r="B141" s="270"/>
      <c r="C141" s="114"/>
      <c r="D141" s="716" t="s">
        <v>591</v>
      </c>
      <c r="E141" s="716"/>
      <c r="F141" s="716"/>
      <c r="G141" s="717"/>
      <c r="H141" s="115" t="s">
        <v>111</v>
      </c>
      <c r="I141" s="115" t="s">
        <v>318</v>
      </c>
      <c r="J141" s="116">
        <v>3082840</v>
      </c>
      <c r="K141" s="115" t="s">
        <v>302</v>
      </c>
      <c r="L141" s="33">
        <v>150000</v>
      </c>
      <c r="M141" s="35"/>
      <c r="N141" s="35"/>
      <c r="O141" s="35"/>
      <c r="P141" s="35"/>
      <c r="Q141" s="35"/>
      <c r="R141" s="35"/>
      <c r="S141" s="35"/>
      <c r="T141" s="715"/>
      <c r="U141" s="117"/>
    </row>
    <row r="142" spans="1:21" s="140" customFormat="1" ht="26.25" customHeight="1" thickBot="1">
      <c r="A142" s="712"/>
      <c r="B142" s="230"/>
      <c r="C142" s="197" t="s">
        <v>563</v>
      </c>
      <c r="D142" s="197"/>
      <c r="E142" s="197"/>
      <c r="F142" s="197"/>
      <c r="G142" s="212"/>
      <c r="H142" s="212"/>
      <c r="I142" s="212"/>
      <c r="J142" s="375"/>
      <c r="K142" s="120"/>
      <c r="L142" s="120"/>
      <c r="M142" s="120"/>
      <c r="N142" s="120"/>
      <c r="O142" s="120"/>
      <c r="P142" s="120"/>
      <c r="Q142" s="120"/>
      <c r="R142" s="120"/>
      <c r="S142" s="120"/>
      <c r="T142" s="714">
        <v>0</v>
      </c>
      <c r="U142" s="121"/>
    </row>
    <row r="143" spans="1:21" s="143" customFormat="1" ht="82.5" customHeight="1" thickBot="1">
      <c r="A143" s="713"/>
      <c r="B143" s="270"/>
      <c r="C143" s="162"/>
      <c r="D143" s="730" t="s">
        <v>591</v>
      </c>
      <c r="E143" s="730"/>
      <c r="F143" s="730"/>
      <c r="G143" s="731"/>
      <c r="H143" s="163" t="s">
        <v>114</v>
      </c>
      <c r="I143" s="163" t="s">
        <v>562</v>
      </c>
      <c r="J143" s="164">
        <v>50963000</v>
      </c>
      <c r="K143" s="163" t="s">
        <v>302</v>
      </c>
      <c r="L143" s="100">
        <v>709040</v>
      </c>
      <c r="M143" s="101"/>
      <c r="N143" s="101"/>
      <c r="O143" s="101"/>
      <c r="P143" s="101"/>
      <c r="Q143" s="101"/>
      <c r="R143" s="101"/>
      <c r="S143" s="101"/>
      <c r="T143" s="715"/>
      <c r="U143" s="117"/>
    </row>
    <row r="144" spans="1:21" s="140" customFormat="1" ht="26.25" customHeight="1" thickBot="1">
      <c r="A144" s="712"/>
      <c r="B144" s="230"/>
      <c r="C144" s="197" t="s">
        <v>564</v>
      </c>
      <c r="D144" s="212"/>
      <c r="E144" s="212"/>
      <c r="F144" s="212"/>
      <c r="G144" s="212"/>
      <c r="H144" s="212"/>
      <c r="I144" s="212"/>
      <c r="J144" s="375"/>
      <c r="K144" s="120"/>
      <c r="L144" s="120"/>
      <c r="M144" s="120"/>
      <c r="N144" s="120"/>
      <c r="O144" s="120"/>
      <c r="P144" s="120"/>
      <c r="Q144" s="120"/>
      <c r="R144" s="120"/>
      <c r="S144" s="120"/>
      <c r="T144" s="714">
        <v>0</v>
      </c>
      <c r="U144" s="121"/>
    </row>
    <row r="145" spans="1:21" s="143" customFormat="1" ht="52.5" customHeight="1" thickBot="1">
      <c r="A145" s="713"/>
      <c r="B145" s="270"/>
      <c r="C145" s="114"/>
      <c r="D145" s="716" t="s">
        <v>592</v>
      </c>
      <c r="E145" s="716"/>
      <c r="F145" s="716"/>
      <c r="G145" s="717"/>
      <c r="H145" s="233" t="s">
        <v>112</v>
      </c>
      <c r="I145" s="115" t="s">
        <v>560</v>
      </c>
      <c r="J145" s="116">
        <v>10796000</v>
      </c>
      <c r="K145" s="115" t="s">
        <v>302</v>
      </c>
      <c r="L145" s="33">
        <v>200000</v>
      </c>
      <c r="M145" s="35"/>
      <c r="N145" s="35"/>
      <c r="O145" s="35"/>
      <c r="P145" s="35"/>
      <c r="Q145" s="35"/>
      <c r="R145" s="35"/>
      <c r="S145" s="35"/>
      <c r="T145" s="715"/>
      <c r="U145" s="117"/>
    </row>
    <row r="146" spans="1:21" s="140" customFormat="1" ht="32.25" customHeight="1" thickBot="1">
      <c r="A146" s="712"/>
      <c r="B146" s="230"/>
      <c r="C146" s="197" t="s">
        <v>565</v>
      </c>
      <c r="D146" s="197"/>
      <c r="E146" s="197"/>
      <c r="F146" s="197"/>
      <c r="G146" s="197"/>
      <c r="H146" s="197"/>
      <c r="I146" s="197"/>
      <c r="J146" s="372"/>
      <c r="K146" s="120"/>
      <c r="L146" s="120"/>
      <c r="M146" s="120"/>
      <c r="N146" s="120"/>
      <c r="O146" s="120"/>
      <c r="P146" s="120"/>
      <c r="Q146" s="120"/>
      <c r="R146" s="120"/>
      <c r="S146" s="120"/>
      <c r="T146" s="714">
        <v>0</v>
      </c>
      <c r="U146" s="121"/>
    </row>
    <row r="147" spans="1:21" s="143" customFormat="1" ht="84" customHeight="1" thickBot="1">
      <c r="A147" s="713"/>
      <c r="B147" s="270"/>
      <c r="C147" s="114"/>
      <c r="D147" s="716" t="s">
        <v>591</v>
      </c>
      <c r="E147" s="716"/>
      <c r="F147" s="716"/>
      <c r="G147" s="717"/>
      <c r="H147" s="115" t="s">
        <v>116</v>
      </c>
      <c r="I147" s="115" t="s">
        <v>542</v>
      </c>
      <c r="J147" s="116">
        <v>690000</v>
      </c>
      <c r="K147" s="115" t="s">
        <v>302</v>
      </c>
      <c r="L147" s="33">
        <v>270000</v>
      </c>
      <c r="M147" s="35">
        <v>150000</v>
      </c>
      <c r="N147" s="35"/>
      <c r="O147" s="35"/>
      <c r="P147" s="35"/>
      <c r="Q147" s="35"/>
      <c r="R147" s="35"/>
      <c r="S147" s="35"/>
      <c r="T147" s="715"/>
      <c r="U147" s="117"/>
    </row>
    <row r="148" spans="1:21" s="140" customFormat="1" ht="32.25" customHeight="1" thickBot="1">
      <c r="A148" s="712"/>
      <c r="B148" s="230"/>
      <c r="C148" s="197" t="s">
        <v>166</v>
      </c>
      <c r="D148" s="197"/>
      <c r="E148" s="197"/>
      <c r="F148" s="197"/>
      <c r="G148" s="212"/>
      <c r="H148" s="212"/>
      <c r="I148" s="212"/>
      <c r="J148" s="375"/>
      <c r="K148" s="120"/>
      <c r="L148" s="120"/>
      <c r="M148" s="120"/>
      <c r="N148" s="120"/>
      <c r="O148" s="120"/>
      <c r="P148" s="120"/>
      <c r="Q148" s="120"/>
      <c r="R148" s="120"/>
      <c r="S148" s="120"/>
      <c r="T148" s="714">
        <v>0</v>
      </c>
      <c r="U148" s="121"/>
    </row>
    <row r="149" spans="1:21" s="143" customFormat="1" ht="51.75" customHeight="1" thickBot="1">
      <c r="A149" s="713"/>
      <c r="B149" s="270"/>
      <c r="C149" s="114"/>
      <c r="D149" s="716" t="s">
        <v>42</v>
      </c>
      <c r="E149" s="716"/>
      <c r="F149" s="716"/>
      <c r="G149" s="717"/>
      <c r="H149" s="236" t="s">
        <v>115</v>
      </c>
      <c r="I149" s="158" t="s">
        <v>157</v>
      </c>
      <c r="J149" s="386">
        <v>275584604</v>
      </c>
      <c r="K149" s="158" t="s">
        <v>302</v>
      </c>
      <c r="L149" s="365">
        <v>16500000</v>
      </c>
      <c r="M149" s="35"/>
      <c r="N149" s="35"/>
      <c r="O149" s="35"/>
      <c r="P149" s="35"/>
      <c r="Q149" s="35"/>
      <c r="R149" s="35"/>
      <c r="S149" s="35"/>
      <c r="T149" s="715"/>
      <c r="U149" s="117"/>
    </row>
    <row r="150" spans="1:21" s="140" customFormat="1" ht="32.25" customHeight="1" thickBot="1">
      <c r="A150" s="712"/>
      <c r="B150" s="230"/>
      <c r="C150" s="197" t="s">
        <v>586</v>
      </c>
      <c r="D150" s="197"/>
      <c r="E150" s="197"/>
      <c r="F150" s="197"/>
      <c r="G150" s="197"/>
      <c r="H150" s="197"/>
      <c r="I150" s="197"/>
      <c r="J150" s="372"/>
      <c r="K150" s="120"/>
      <c r="L150" s="349"/>
      <c r="M150" s="349"/>
      <c r="N150" s="349"/>
      <c r="O150" s="349"/>
      <c r="P150" s="349"/>
      <c r="Q150" s="349"/>
      <c r="R150" s="349"/>
      <c r="S150" s="349"/>
      <c r="T150" s="714">
        <v>0</v>
      </c>
      <c r="U150" s="121"/>
    </row>
    <row r="151" spans="1:21" s="143" customFormat="1" ht="79.5" customHeight="1" thickBot="1">
      <c r="A151" s="713"/>
      <c r="B151" s="270"/>
      <c r="C151" s="114"/>
      <c r="D151" s="716" t="s">
        <v>591</v>
      </c>
      <c r="E151" s="716"/>
      <c r="F151" s="716"/>
      <c r="G151" s="717"/>
      <c r="H151" s="115" t="s">
        <v>117</v>
      </c>
      <c r="I151" s="115" t="s">
        <v>327</v>
      </c>
      <c r="J151" s="116">
        <v>700000</v>
      </c>
      <c r="K151" s="115" t="s">
        <v>302</v>
      </c>
      <c r="L151" s="33">
        <v>350000</v>
      </c>
      <c r="M151" s="35">
        <v>350000</v>
      </c>
      <c r="N151" s="35"/>
      <c r="O151" s="35"/>
      <c r="P151" s="35"/>
      <c r="Q151" s="35"/>
      <c r="R151" s="35"/>
      <c r="S151" s="35"/>
      <c r="T151" s="715"/>
      <c r="U151" s="117"/>
    </row>
    <row r="152" spans="1:21" s="140" customFormat="1" ht="32.25" customHeight="1" thickBot="1">
      <c r="A152" s="712"/>
      <c r="B152" s="230"/>
      <c r="C152" s="197" t="s">
        <v>587</v>
      </c>
      <c r="D152" s="197"/>
      <c r="E152" s="197"/>
      <c r="F152" s="197"/>
      <c r="G152" s="197"/>
      <c r="H152" s="197"/>
      <c r="I152" s="197"/>
      <c r="J152" s="372"/>
      <c r="K152" s="120"/>
      <c r="L152" s="349"/>
      <c r="M152" s="349"/>
      <c r="N152" s="349"/>
      <c r="O152" s="349"/>
      <c r="P152" s="349"/>
      <c r="Q152" s="349"/>
      <c r="R152" s="349"/>
      <c r="S152" s="349"/>
      <c r="T152" s="714">
        <v>0</v>
      </c>
      <c r="U152" s="121"/>
    </row>
    <row r="153" spans="1:21" s="143" customFormat="1" ht="45.75" customHeight="1" thickBot="1">
      <c r="A153" s="713"/>
      <c r="B153" s="270"/>
      <c r="C153" s="162"/>
      <c r="D153" s="730" t="s">
        <v>588</v>
      </c>
      <c r="E153" s="730"/>
      <c r="F153" s="730"/>
      <c r="G153" s="731"/>
      <c r="H153" s="163" t="s">
        <v>104</v>
      </c>
      <c r="I153" s="163" t="s">
        <v>327</v>
      </c>
      <c r="J153" s="164">
        <v>3000000</v>
      </c>
      <c r="K153" s="163" t="s">
        <v>302</v>
      </c>
      <c r="L153" s="100">
        <v>1000000</v>
      </c>
      <c r="M153" s="101">
        <v>2000000</v>
      </c>
      <c r="N153" s="101"/>
      <c r="O153" s="101"/>
      <c r="P153" s="101"/>
      <c r="Q153" s="101"/>
      <c r="R153" s="101"/>
      <c r="S153" s="101"/>
      <c r="T153" s="715"/>
      <c r="U153" s="117"/>
    </row>
    <row r="154" spans="1:21" s="140" customFormat="1" ht="32.25" customHeight="1" thickBot="1">
      <c r="A154" s="712"/>
      <c r="B154" s="230"/>
      <c r="C154" s="380" t="s">
        <v>167</v>
      </c>
      <c r="D154" s="380"/>
      <c r="E154" s="380"/>
      <c r="F154" s="380"/>
      <c r="G154" s="380"/>
      <c r="H154" s="380"/>
      <c r="I154" s="380"/>
      <c r="J154" s="385"/>
      <c r="K154" s="149"/>
      <c r="L154" s="384"/>
      <c r="M154" s="384"/>
      <c r="N154" s="384"/>
      <c r="O154" s="384"/>
      <c r="P154" s="384"/>
      <c r="Q154" s="384"/>
      <c r="R154" s="384"/>
      <c r="S154" s="384"/>
      <c r="T154" s="575"/>
      <c r="U154" s="121"/>
    </row>
    <row r="155" spans="1:21" s="143" customFormat="1" ht="47.25" customHeight="1" thickBot="1">
      <c r="A155" s="713"/>
      <c r="B155" s="270"/>
      <c r="C155" s="162"/>
      <c r="D155" s="730" t="s">
        <v>81</v>
      </c>
      <c r="E155" s="730"/>
      <c r="F155" s="730"/>
      <c r="G155" s="731"/>
      <c r="H155" s="240" t="s">
        <v>103</v>
      </c>
      <c r="I155" s="163" t="s">
        <v>347</v>
      </c>
      <c r="J155" s="164">
        <v>444150</v>
      </c>
      <c r="K155" s="163" t="s">
        <v>302</v>
      </c>
      <c r="L155" s="361">
        <v>404927</v>
      </c>
      <c r="M155" s="101"/>
      <c r="N155" s="101"/>
      <c r="O155" s="101"/>
      <c r="P155" s="101"/>
      <c r="Q155" s="101"/>
      <c r="R155" s="101"/>
      <c r="S155" s="101"/>
      <c r="T155" s="715"/>
      <c r="U155" s="117"/>
    </row>
    <row r="156" spans="1:21" s="140" customFormat="1" ht="32.25" customHeight="1" thickBot="1">
      <c r="A156" s="712"/>
      <c r="B156" s="141"/>
      <c r="C156" s="197" t="s">
        <v>168</v>
      </c>
      <c r="D156" s="197"/>
      <c r="E156" s="197"/>
      <c r="F156" s="197"/>
      <c r="G156" s="197"/>
      <c r="H156" s="197"/>
      <c r="I156" s="212"/>
      <c r="J156" s="375"/>
      <c r="K156" s="120"/>
      <c r="L156" s="349"/>
      <c r="M156" s="349"/>
      <c r="N156" s="349"/>
      <c r="O156" s="349"/>
      <c r="P156" s="349"/>
      <c r="Q156" s="349"/>
      <c r="R156" s="349"/>
      <c r="S156" s="349"/>
      <c r="T156" s="714">
        <v>330000</v>
      </c>
      <c r="U156" s="121"/>
    </row>
    <row r="157" spans="1:21" s="143" customFormat="1" ht="55.5" customHeight="1" thickBot="1">
      <c r="A157" s="713"/>
      <c r="B157" s="43"/>
      <c r="C157" s="114"/>
      <c r="D157" s="716" t="s">
        <v>82</v>
      </c>
      <c r="E157" s="716"/>
      <c r="F157" s="716"/>
      <c r="G157" s="717"/>
      <c r="H157" s="234" t="s">
        <v>118</v>
      </c>
      <c r="I157" s="147" t="s">
        <v>253</v>
      </c>
      <c r="J157" s="371">
        <v>4238000</v>
      </c>
      <c r="K157" s="115" t="s">
        <v>302</v>
      </c>
      <c r="L157" s="358">
        <v>130000</v>
      </c>
      <c r="M157" s="366">
        <v>200000</v>
      </c>
      <c r="N157" s="358">
        <v>0</v>
      </c>
      <c r="O157" s="358">
        <v>430000</v>
      </c>
      <c r="P157" s="358">
        <v>500000</v>
      </c>
      <c r="Q157" s="35"/>
      <c r="R157" s="35"/>
      <c r="S157" s="35"/>
      <c r="T157" s="715"/>
      <c r="U157" s="117"/>
    </row>
    <row r="158" spans="1:21" s="140" customFormat="1" ht="32.25" customHeight="1" thickBot="1">
      <c r="A158" s="712"/>
      <c r="B158" s="141"/>
      <c r="C158" s="197" t="s">
        <v>169</v>
      </c>
      <c r="D158" s="197"/>
      <c r="E158" s="197"/>
      <c r="F158" s="197"/>
      <c r="G158" s="197"/>
      <c r="H158" s="197"/>
      <c r="I158" s="197"/>
      <c r="J158" s="372"/>
      <c r="K158" s="120"/>
      <c r="L158" s="349"/>
      <c r="M158" s="349"/>
      <c r="N158" s="349"/>
      <c r="O158" s="349"/>
      <c r="P158" s="349"/>
      <c r="Q158" s="349"/>
      <c r="R158" s="349"/>
      <c r="S158" s="349"/>
      <c r="T158" s="714">
        <v>0</v>
      </c>
      <c r="U158" s="121"/>
    </row>
    <row r="159" spans="1:21" s="143" customFormat="1" ht="45" customHeight="1" thickBot="1">
      <c r="A159" s="713"/>
      <c r="B159" s="43"/>
      <c r="C159" s="114"/>
      <c r="D159" s="716" t="s">
        <v>82</v>
      </c>
      <c r="E159" s="716"/>
      <c r="F159" s="716"/>
      <c r="G159" s="717"/>
      <c r="H159" s="157" t="s">
        <v>119</v>
      </c>
      <c r="I159" s="147" t="s">
        <v>258</v>
      </c>
      <c r="J159" s="371">
        <v>8452000</v>
      </c>
      <c r="K159" s="159" t="s">
        <v>302</v>
      </c>
      <c r="L159" s="348">
        <v>0</v>
      </c>
      <c r="M159" s="367">
        <v>0</v>
      </c>
      <c r="N159" s="348">
        <v>1500000</v>
      </c>
      <c r="O159" s="348">
        <v>4500000</v>
      </c>
      <c r="P159" s="35"/>
      <c r="Q159" s="35"/>
      <c r="R159" s="35"/>
      <c r="S159" s="35"/>
      <c r="T159" s="715"/>
      <c r="U159" s="117"/>
    </row>
    <row r="160" spans="1:21" s="140" customFormat="1" ht="32.25" customHeight="1" thickBot="1">
      <c r="A160" s="712"/>
      <c r="B160" s="141"/>
      <c r="C160" s="197" t="s">
        <v>170</v>
      </c>
      <c r="D160" s="197"/>
      <c r="E160" s="197"/>
      <c r="F160" s="197"/>
      <c r="G160" s="197"/>
      <c r="H160" s="197"/>
      <c r="I160" s="197"/>
      <c r="J160" s="372"/>
      <c r="K160" s="120"/>
      <c r="L160" s="349"/>
      <c r="M160" s="349"/>
      <c r="N160" s="349"/>
      <c r="O160" s="349"/>
      <c r="P160" s="349"/>
      <c r="Q160" s="349"/>
      <c r="R160" s="349"/>
      <c r="S160" s="349"/>
      <c r="T160" s="714">
        <v>0</v>
      </c>
      <c r="U160" s="121"/>
    </row>
    <row r="161" spans="1:21" s="143" customFormat="1" ht="45.75" customHeight="1" thickBot="1">
      <c r="A161" s="767"/>
      <c r="B161" s="43"/>
      <c r="C161" s="150"/>
      <c r="D161" s="741" t="s">
        <v>82</v>
      </c>
      <c r="E161" s="741"/>
      <c r="F161" s="741"/>
      <c r="G161" s="742"/>
      <c r="H161" s="157" t="s">
        <v>120</v>
      </c>
      <c r="I161" s="147" t="s">
        <v>80</v>
      </c>
      <c r="J161" s="371">
        <v>3264000</v>
      </c>
      <c r="K161" s="163" t="s">
        <v>302</v>
      </c>
      <c r="L161" s="429">
        <v>0</v>
      </c>
      <c r="M161" s="445">
        <v>1000000</v>
      </c>
      <c r="N161" s="429">
        <v>1280000</v>
      </c>
      <c r="O161" s="101"/>
      <c r="P161" s="101"/>
      <c r="Q161" s="101"/>
      <c r="R161" s="101"/>
      <c r="S161" s="101"/>
      <c r="T161" s="715"/>
      <c r="U161" s="117"/>
    </row>
    <row r="162" spans="1:21" s="140" customFormat="1" ht="32.25" customHeight="1" hidden="1" thickBot="1">
      <c r="A162" s="712"/>
      <c r="B162" s="141"/>
      <c r="C162" s="197" t="s">
        <v>171</v>
      </c>
      <c r="D162" s="197"/>
      <c r="E162" s="197"/>
      <c r="F162" s="197"/>
      <c r="G162" s="197"/>
      <c r="H162" s="212"/>
      <c r="I162" s="212"/>
      <c r="J162" s="375"/>
      <c r="K162" s="120"/>
      <c r="L162" s="349"/>
      <c r="M162" s="349"/>
      <c r="N162" s="349"/>
      <c r="O162" s="349"/>
      <c r="P162" s="349"/>
      <c r="Q162" s="349"/>
      <c r="R162" s="349"/>
      <c r="S162" s="349"/>
      <c r="T162" s="714">
        <v>0</v>
      </c>
      <c r="U162" s="121"/>
    </row>
    <row r="163" spans="1:21" s="143" customFormat="1" ht="59.25" customHeight="1" hidden="1" thickBot="1">
      <c r="A163" s="713"/>
      <c r="B163" s="43"/>
      <c r="C163" s="114"/>
      <c r="D163" s="716" t="s">
        <v>83</v>
      </c>
      <c r="E163" s="716"/>
      <c r="F163" s="716"/>
      <c r="G163" s="717"/>
      <c r="H163" s="234" t="s">
        <v>121</v>
      </c>
      <c r="I163" s="486">
        <v>2015</v>
      </c>
      <c r="J163" s="371">
        <v>23500000</v>
      </c>
      <c r="K163" s="153" t="s">
        <v>302</v>
      </c>
      <c r="L163" s="356"/>
      <c r="M163" s="356"/>
      <c r="N163" s="356"/>
      <c r="O163" s="356"/>
      <c r="P163" s="356">
        <f>2000000-2000000</f>
        <v>0</v>
      </c>
      <c r="Q163" s="35"/>
      <c r="R163" s="35"/>
      <c r="S163" s="35"/>
      <c r="T163" s="715"/>
      <c r="U163" s="117"/>
    </row>
    <row r="164" spans="1:21" s="140" customFormat="1" ht="32.25" customHeight="1" thickBot="1">
      <c r="A164" s="712"/>
      <c r="B164" s="141"/>
      <c r="C164" s="197" t="s">
        <v>172</v>
      </c>
      <c r="D164" s="197"/>
      <c r="E164" s="197"/>
      <c r="F164" s="197"/>
      <c r="G164" s="212"/>
      <c r="H164" s="212"/>
      <c r="I164" s="212"/>
      <c r="J164" s="375"/>
      <c r="K164" s="120"/>
      <c r="L164" s="349"/>
      <c r="M164" s="349"/>
      <c r="N164" s="349"/>
      <c r="O164" s="349"/>
      <c r="P164" s="349"/>
      <c r="Q164" s="349"/>
      <c r="R164" s="349"/>
      <c r="S164" s="349"/>
      <c r="T164" s="714">
        <v>0</v>
      </c>
      <c r="U164" s="121"/>
    </row>
    <row r="165" spans="1:21" s="143" customFormat="1" ht="90.75" customHeight="1" thickBot="1">
      <c r="A165" s="713"/>
      <c r="B165" s="43"/>
      <c r="C165" s="114"/>
      <c r="D165" s="716" t="s">
        <v>126</v>
      </c>
      <c r="E165" s="716"/>
      <c r="F165" s="716"/>
      <c r="G165" s="717"/>
      <c r="H165" s="157" t="s">
        <v>86</v>
      </c>
      <c r="I165" s="147" t="s">
        <v>485</v>
      </c>
      <c r="J165" s="371">
        <v>3750000</v>
      </c>
      <c r="K165" s="115" t="s">
        <v>302</v>
      </c>
      <c r="L165" s="358">
        <v>0</v>
      </c>
      <c r="M165" s="358">
        <v>500000</v>
      </c>
      <c r="N165" s="358">
        <v>800000</v>
      </c>
      <c r="O165" s="358">
        <v>1600000</v>
      </c>
      <c r="P165" s="358">
        <v>850000</v>
      </c>
      <c r="Q165" s="35"/>
      <c r="R165" s="35"/>
      <c r="S165" s="35"/>
      <c r="T165" s="715"/>
      <c r="U165" s="117"/>
    </row>
    <row r="166" spans="1:21" s="140" customFormat="1" ht="32.25" customHeight="1" thickBot="1">
      <c r="A166" s="712"/>
      <c r="B166" s="141"/>
      <c r="C166" s="197" t="s">
        <v>173</v>
      </c>
      <c r="D166" s="197"/>
      <c r="E166" s="197"/>
      <c r="F166" s="197"/>
      <c r="G166" s="197"/>
      <c r="H166" s="197"/>
      <c r="I166" s="197"/>
      <c r="J166" s="372"/>
      <c r="K166" s="120"/>
      <c r="L166" s="349"/>
      <c r="M166" s="349"/>
      <c r="N166" s="349"/>
      <c r="O166" s="349"/>
      <c r="P166" s="349"/>
      <c r="Q166" s="349"/>
      <c r="R166" s="349"/>
      <c r="S166" s="349"/>
      <c r="T166" s="714">
        <v>300000</v>
      </c>
      <c r="U166" s="121"/>
    </row>
    <row r="167" spans="1:21" s="143" customFormat="1" ht="54" customHeight="1" thickBot="1">
      <c r="A167" s="713"/>
      <c r="B167" s="43"/>
      <c r="C167" s="114"/>
      <c r="D167" s="716" t="s">
        <v>84</v>
      </c>
      <c r="E167" s="716"/>
      <c r="F167" s="716"/>
      <c r="G167" s="717"/>
      <c r="H167" s="234" t="s">
        <v>105</v>
      </c>
      <c r="I167" s="147" t="s">
        <v>347</v>
      </c>
      <c r="J167" s="371">
        <v>725000</v>
      </c>
      <c r="K167" s="161" t="s">
        <v>302</v>
      </c>
      <c r="L167" s="368">
        <v>300000</v>
      </c>
      <c r="M167" s="368"/>
      <c r="N167" s="358"/>
      <c r="O167" s="358"/>
      <c r="P167" s="358"/>
      <c r="Q167" s="35"/>
      <c r="R167" s="35"/>
      <c r="S167" s="35"/>
      <c r="T167" s="715"/>
      <c r="U167" s="117"/>
    </row>
    <row r="168" spans="1:21" s="140" customFormat="1" ht="32.25" customHeight="1" thickBot="1">
      <c r="A168" s="712"/>
      <c r="B168" s="141"/>
      <c r="C168" s="197" t="s">
        <v>174</v>
      </c>
      <c r="D168" s="197"/>
      <c r="E168" s="197"/>
      <c r="F168" s="197"/>
      <c r="G168" s="212"/>
      <c r="H168" s="212"/>
      <c r="I168" s="212"/>
      <c r="J168" s="375"/>
      <c r="K168" s="120"/>
      <c r="L168" s="349"/>
      <c r="M168" s="349"/>
      <c r="N168" s="349"/>
      <c r="O168" s="349"/>
      <c r="P168" s="349"/>
      <c r="Q168" s="349"/>
      <c r="R168" s="349"/>
      <c r="S168" s="349"/>
      <c r="T168" s="714">
        <v>150000</v>
      </c>
      <c r="U168" s="121"/>
    </row>
    <row r="169" spans="1:21" s="143" customFormat="1" ht="93" customHeight="1" thickBot="1">
      <c r="A169" s="713"/>
      <c r="B169" s="43"/>
      <c r="C169" s="162"/>
      <c r="D169" s="730" t="s">
        <v>85</v>
      </c>
      <c r="E169" s="730"/>
      <c r="F169" s="730"/>
      <c r="G169" s="731"/>
      <c r="H169" s="157" t="s">
        <v>106</v>
      </c>
      <c r="I169" s="147" t="s">
        <v>332</v>
      </c>
      <c r="J169" s="371">
        <v>508000</v>
      </c>
      <c r="K169" s="147" t="s">
        <v>302</v>
      </c>
      <c r="L169" s="351">
        <v>150000</v>
      </c>
      <c r="M169" s="450"/>
      <c r="N169" s="451"/>
      <c r="O169" s="451"/>
      <c r="P169" s="101"/>
      <c r="Q169" s="101"/>
      <c r="R169" s="101"/>
      <c r="S169" s="101"/>
      <c r="T169" s="715"/>
      <c r="U169" s="117"/>
    </row>
    <row r="170" spans="1:21" s="140" customFormat="1" ht="42" customHeight="1" thickBot="1">
      <c r="A170" s="712">
        <v>852</v>
      </c>
      <c r="B170" s="141"/>
      <c r="C170" s="380" t="s">
        <v>490</v>
      </c>
      <c r="D170" s="380"/>
      <c r="E170" s="380"/>
      <c r="F170" s="380"/>
      <c r="G170" s="380"/>
      <c r="H170" s="380"/>
      <c r="I170" s="380"/>
      <c r="J170" s="385"/>
      <c r="K170" s="149"/>
      <c r="L170" s="149"/>
      <c r="M170" s="149"/>
      <c r="N170" s="149"/>
      <c r="O170" s="149"/>
      <c r="P170" s="149"/>
      <c r="Q170" s="149"/>
      <c r="R170" s="149"/>
      <c r="S170" s="149"/>
      <c r="T170" s="575">
        <v>85317468</v>
      </c>
      <c r="U170" s="121"/>
    </row>
    <row r="171" spans="1:21" s="143" customFormat="1" ht="45" customHeight="1" thickBot="1">
      <c r="A171" s="713"/>
      <c r="B171" s="43"/>
      <c r="C171" s="114"/>
      <c r="D171" s="716" t="s">
        <v>491</v>
      </c>
      <c r="E171" s="716"/>
      <c r="F171" s="716"/>
      <c r="G171" s="717"/>
      <c r="H171" s="147" t="s">
        <v>295</v>
      </c>
      <c r="I171" s="115" t="s">
        <v>444</v>
      </c>
      <c r="J171" s="116">
        <v>85317468</v>
      </c>
      <c r="K171" s="115" t="s">
        <v>297</v>
      </c>
      <c r="L171" s="33">
        <v>31568556</v>
      </c>
      <c r="M171" s="35">
        <v>30647826</v>
      </c>
      <c r="N171" s="35">
        <v>23101086</v>
      </c>
      <c r="O171" s="35"/>
      <c r="P171" s="35"/>
      <c r="Q171" s="35"/>
      <c r="R171" s="35"/>
      <c r="S171" s="35"/>
      <c r="T171" s="715"/>
      <c r="U171" s="117"/>
    </row>
    <row r="172" spans="1:21" s="140" customFormat="1" ht="32.25" customHeight="1" thickBot="1">
      <c r="A172" s="712">
        <v>852</v>
      </c>
      <c r="B172" s="141"/>
      <c r="C172" s="197" t="s">
        <v>492</v>
      </c>
      <c r="D172" s="197"/>
      <c r="E172" s="197"/>
      <c r="F172" s="197"/>
      <c r="G172" s="197"/>
      <c r="H172" s="197"/>
      <c r="I172" s="197"/>
      <c r="J172" s="372"/>
      <c r="K172" s="120"/>
      <c r="L172" s="120"/>
      <c r="M172" s="120"/>
      <c r="N172" s="120"/>
      <c r="O172" s="120"/>
      <c r="P172" s="120"/>
      <c r="Q172" s="120"/>
      <c r="R172" s="120"/>
      <c r="S172" s="120"/>
      <c r="T172" s="714">
        <f>4701200+5000</f>
        <v>4706200</v>
      </c>
      <c r="U172" s="121"/>
    </row>
    <row r="173" spans="1:21" s="143" customFormat="1" ht="45.75" customHeight="1" thickBot="1">
      <c r="A173" s="713"/>
      <c r="B173" s="43"/>
      <c r="C173" s="162"/>
      <c r="D173" s="730" t="s">
        <v>491</v>
      </c>
      <c r="E173" s="730"/>
      <c r="F173" s="730"/>
      <c r="G173" s="731"/>
      <c r="H173" s="147" t="s">
        <v>295</v>
      </c>
      <c r="I173" s="163" t="s">
        <v>327</v>
      </c>
      <c r="J173" s="164">
        <v>4706200</v>
      </c>
      <c r="K173" s="163" t="s">
        <v>297</v>
      </c>
      <c r="L173" s="100">
        <f>2550600+5000</f>
        <v>2555600</v>
      </c>
      <c r="M173" s="101">
        <v>2150600</v>
      </c>
      <c r="N173" s="101"/>
      <c r="O173" s="101"/>
      <c r="P173" s="101"/>
      <c r="Q173" s="101"/>
      <c r="R173" s="101"/>
      <c r="S173" s="101"/>
      <c r="T173" s="715"/>
      <c r="U173" s="117"/>
    </row>
    <row r="174" spans="1:20" s="134" customFormat="1" ht="32.25" customHeight="1">
      <c r="A174" s="68"/>
      <c r="B174" s="133"/>
      <c r="C174" s="743" t="s">
        <v>518</v>
      </c>
      <c r="D174" s="744"/>
      <c r="E174" s="744"/>
      <c r="F174" s="744"/>
      <c r="G174" s="744"/>
      <c r="H174" s="744"/>
      <c r="I174" s="745"/>
      <c r="J174" s="706">
        <f>J173+J171+J169+J167+J165+J161+J159+J157+J155+J153+J151+J149+J147+J145+J143+J141+J139</f>
        <v>457254262</v>
      </c>
      <c r="K174" s="213" t="s">
        <v>297</v>
      </c>
      <c r="L174" s="214">
        <f>L173+L171</f>
        <v>34124156</v>
      </c>
      <c r="M174" s="215">
        <f aca="true" t="shared" si="12" ref="M174:S174">M173+M171</f>
        <v>32798426</v>
      </c>
      <c r="N174" s="215">
        <f t="shared" si="12"/>
        <v>23101086</v>
      </c>
      <c r="O174" s="215">
        <f t="shared" si="12"/>
        <v>0</v>
      </c>
      <c r="P174" s="215">
        <f t="shared" si="12"/>
        <v>0</v>
      </c>
      <c r="Q174" s="215">
        <f t="shared" si="12"/>
        <v>0</v>
      </c>
      <c r="R174" s="215">
        <f t="shared" si="12"/>
        <v>0</v>
      </c>
      <c r="S174" s="215">
        <f t="shared" si="12"/>
        <v>0</v>
      </c>
      <c r="T174" s="709">
        <f>SUM(T138:T173)</f>
        <v>90863668</v>
      </c>
    </row>
    <row r="175" spans="1:20" s="134" customFormat="1" ht="32.25" customHeight="1">
      <c r="A175" s="68"/>
      <c r="B175" s="133"/>
      <c r="C175" s="746"/>
      <c r="D175" s="747"/>
      <c r="E175" s="747"/>
      <c r="F175" s="747"/>
      <c r="G175" s="747"/>
      <c r="H175" s="747"/>
      <c r="I175" s="748"/>
      <c r="J175" s="707"/>
      <c r="K175" s="217" t="s">
        <v>302</v>
      </c>
      <c r="L175" s="218">
        <f>+L169+L167+L165+L163+L161+L159+L157+L155+L153+L151+L149+L147+L145+L143+L141+L139</f>
        <v>20223967</v>
      </c>
      <c r="M175" s="219">
        <f aca="true" t="shared" si="13" ref="M175:S175">+M169+M167+M165+M163+M161+M159+M157+M155+M153+M151+M149+M147+M145+M143+M141+M139</f>
        <v>4200000</v>
      </c>
      <c r="N175" s="219">
        <f t="shared" si="13"/>
        <v>3580000</v>
      </c>
      <c r="O175" s="219">
        <f t="shared" si="13"/>
        <v>6530000</v>
      </c>
      <c r="P175" s="219">
        <f t="shared" si="13"/>
        <v>1350000</v>
      </c>
      <c r="Q175" s="219">
        <f t="shared" si="13"/>
        <v>0</v>
      </c>
      <c r="R175" s="219">
        <f t="shared" si="13"/>
        <v>0</v>
      </c>
      <c r="S175" s="219">
        <f t="shared" si="13"/>
        <v>0</v>
      </c>
      <c r="T175" s="710"/>
    </row>
    <row r="176" spans="1:20" s="135" customFormat="1" ht="32.25" customHeight="1" thickBot="1">
      <c r="A176" s="65"/>
      <c r="B176" s="133"/>
      <c r="C176" s="749"/>
      <c r="D176" s="750"/>
      <c r="E176" s="750"/>
      <c r="F176" s="750"/>
      <c r="G176" s="750"/>
      <c r="H176" s="750"/>
      <c r="I176" s="751"/>
      <c r="J176" s="708"/>
      <c r="K176" s="220" t="s">
        <v>301</v>
      </c>
      <c r="L176" s="221">
        <f aca="true" t="shared" si="14" ref="L176:S176">SUM(L174:L175)</f>
        <v>54348123</v>
      </c>
      <c r="M176" s="222">
        <f t="shared" si="14"/>
        <v>36998426</v>
      </c>
      <c r="N176" s="222">
        <f t="shared" si="14"/>
        <v>26681086</v>
      </c>
      <c r="O176" s="222">
        <f t="shared" si="14"/>
        <v>6530000</v>
      </c>
      <c r="P176" s="222">
        <f t="shared" si="14"/>
        <v>1350000</v>
      </c>
      <c r="Q176" s="222">
        <f t="shared" si="14"/>
        <v>0</v>
      </c>
      <c r="R176" s="222">
        <f t="shared" si="14"/>
        <v>0</v>
      </c>
      <c r="S176" s="223">
        <f t="shared" si="14"/>
        <v>0</v>
      </c>
      <c r="T176" s="711"/>
    </row>
    <row r="177" spans="1:20" s="195" customFormat="1" ht="20.25" customHeight="1" thickBot="1">
      <c r="A177" s="189"/>
      <c r="B177" s="190"/>
      <c r="C177" s="459" t="s">
        <v>419</v>
      </c>
      <c r="D177" s="455"/>
      <c r="E177" s="455"/>
      <c r="F177" s="455"/>
      <c r="G177" s="455"/>
      <c r="H177" s="455"/>
      <c r="I177" s="455"/>
      <c r="J177" s="455"/>
      <c r="K177" s="189"/>
      <c r="L177" s="189"/>
      <c r="M177" s="192"/>
      <c r="N177" s="193"/>
      <c r="O177" s="193"/>
      <c r="P177" s="193"/>
      <c r="Q177" s="193"/>
      <c r="R177" s="193"/>
      <c r="S177" s="193"/>
      <c r="T177" s="241"/>
    </row>
    <row r="178" spans="1:21" s="140" customFormat="1" ht="26.25" customHeight="1" thickBot="1">
      <c r="A178" s="712"/>
      <c r="B178" s="141"/>
      <c r="C178" s="197" t="s">
        <v>178</v>
      </c>
      <c r="D178" s="197"/>
      <c r="E178" s="197"/>
      <c r="F178" s="197"/>
      <c r="G178" s="197"/>
      <c r="H178" s="197"/>
      <c r="I178" s="197"/>
      <c r="J178" s="372"/>
      <c r="K178" s="120"/>
      <c r="L178" s="120"/>
      <c r="M178" s="120"/>
      <c r="N178" s="120"/>
      <c r="O178" s="120"/>
      <c r="P178" s="120"/>
      <c r="Q178" s="120"/>
      <c r="R178" s="120"/>
      <c r="S178" s="120"/>
      <c r="T178" s="714">
        <v>8140000</v>
      </c>
      <c r="U178" s="121"/>
    </row>
    <row r="179" spans="1:21" s="143" customFormat="1" ht="45" customHeight="1" thickBot="1">
      <c r="A179" s="713"/>
      <c r="B179" s="43"/>
      <c r="C179" s="114"/>
      <c r="D179" s="716" t="s">
        <v>43</v>
      </c>
      <c r="E179" s="716"/>
      <c r="F179" s="716"/>
      <c r="G179" s="717"/>
      <c r="H179" s="235" t="s">
        <v>107</v>
      </c>
      <c r="I179" s="115" t="s">
        <v>158</v>
      </c>
      <c r="J179" s="116">
        <v>11140000</v>
      </c>
      <c r="K179" s="115" t="s">
        <v>302</v>
      </c>
      <c r="L179" s="156">
        <v>4000000</v>
      </c>
      <c r="M179" s="165">
        <v>4140000</v>
      </c>
      <c r="N179" s="166"/>
      <c r="O179" s="35"/>
      <c r="P179" s="35"/>
      <c r="Q179" s="35"/>
      <c r="R179" s="35"/>
      <c r="S179" s="35"/>
      <c r="T179" s="715"/>
      <c r="U179" s="117"/>
    </row>
    <row r="180" spans="1:21" s="140" customFormat="1" ht="26.25" customHeight="1" thickBot="1">
      <c r="A180" s="712"/>
      <c r="B180" s="141"/>
      <c r="C180" s="197" t="s">
        <v>180</v>
      </c>
      <c r="D180" s="197"/>
      <c r="E180" s="197"/>
      <c r="F180" s="197"/>
      <c r="G180" s="197"/>
      <c r="H180" s="197"/>
      <c r="I180" s="197"/>
      <c r="J180" s="372"/>
      <c r="K180" s="120"/>
      <c r="L180" s="349"/>
      <c r="M180" s="349"/>
      <c r="N180" s="349"/>
      <c r="O180" s="349"/>
      <c r="P180" s="349"/>
      <c r="Q180" s="349"/>
      <c r="R180" s="349"/>
      <c r="S180" s="349"/>
      <c r="T180" s="714">
        <v>395280</v>
      </c>
      <c r="U180" s="121"/>
    </row>
    <row r="181" spans="1:21" s="143" customFormat="1" ht="86.25" customHeight="1" thickBot="1">
      <c r="A181" s="713"/>
      <c r="B181" s="43"/>
      <c r="C181" s="162"/>
      <c r="D181" s="730" t="s">
        <v>125</v>
      </c>
      <c r="E181" s="730"/>
      <c r="F181" s="730"/>
      <c r="G181" s="731"/>
      <c r="H181" s="157" t="s">
        <v>108</v>
      </c>
      <c r="I181" s="147" t="s">
        <v>332</v>
      </c>
      <c r="J181" s="371">
        <v>658800</v>
      </c>
      <c r="K181" s="163" t="s">
        <v>302</v>
      </c>
      <c r="L181" s="355">
        <v>395280</v>
      </c>
      <c r="M181" s="101"/>
      <c r="N181" s="101"/>
      <c r="O181" s="101"/>
      <c r="P181" s="101"/>
      <c r="Q181" s="101"/>
      <c r="R181" s="101"/>
      <c r="S181" s="101"/>
      <c r="T181" s="715"/>
      <c r="U181" s="117"/>
    </row>
    <row r="182" spans="1:21" s="140" customFormat="1" ht="26.25" customHeight="1" thickBot="1">
      <c r="A182" s="712"/>
      <c r="B182" s="141"/>
      <c r="C182" s="197" t="s">
        <v>179</v>
      </c>
      <c r="D182" s="197"/>
      <c r="E182" s="197"/>
      <c r="F182" s="197"/>
      <c r="G182" s="197"/>
      <c r="H182" s="212"/>
      <c r="I182" s="212"/>
      <c r="J182" s="375"/>
      <c r="K182" s="120"/>
      <c r="L182" s="349"/>
      <c r="M182" s="349"/>
      <c r="N182" s="349"/>
      <c r="O182" s="349"/>
      <c r="P182" s="349"/>
      <c r="Q182" s="349"/>
      <c r="R182" s="349"/>
      <c r="S182" s="349"/>
      <c r="T182" s="714">
        <v>0</v>
      </c>
      <c r="U182" s="121"/>
    </row>
    <row r="183" spans="1:21" s="143" customFormat="1" ht="45" customHeight="1" thickBot="1">
      <c r="A183" s="713"/>
      <c r="B183" s="43"/>
      <c r="C183" s="114"/>
      <c r="D183" s="716" t="s">
        <v>44</v>
      </c>
      <c r="E183" s="716"/>
      <c r="F183" s="716"/>
      <c r="G183" s="717"/>
      <c r="H183" s="231" t="s">
        <v>109</v>
      </c>
      <c r="I183" s="115" t="s">
        <v>147</v>
      </c>
      <c r="J183" s="116">
        <v>14650900</v>
      </c>
      <c r="K183" s="115" t="s">
        <v>302</v>
      </c>
      <c r="L183" s="350">
        <v>882000</v>
      </c>
      <c r="M183" s="10"/>
      <c r="N183" s="35">
        <v>2000000</v>
      </c>
      <c r="O183" s="35">
        <v>5627000</v>
      </c>
      <c r="P183" s="35">
        <v>5817000</v>
      </c>
      <c r="Q183" s="35"/>
      <c r="R183" s="35"/>
      <c r="S183" s="35"/>
      <c r="T183" s="715"/>
      <c r="U183" s="117"/>
    </row>
    <row r="184" spans="1:21" s="140" customFormat="1" ht="26.25" customHeight="1" thickBot="1">
      <c r="A184" s="712"/>
      <c r="B184" s="141"/>
      <c r="C184" s="197" t="s">
        <v>181</v>
      </c>
      <c r="D184" s="197"/>
      <c r="E184" s="197"/>
      <c r="F184" s="197"/>
      <c r="G184" s="212"/>
      <c r="H184" s="212"/>
      <c r="I184" s="212"/>
      <c r="J184" s="375"/>
      <c r="K184" s="120"/>
      <c r="L184" s="349"/>
      <c r="M184" s="349"/>
      <c r="N184" s="349"/>
      <c r="O184" s="349"/>
      <c r="P184" s="349"/>
      <c r="Q184" s="349"/>
      <c r="R184" s="349"/>
      <c r="S184" s="349"/>
      <c r="T184" s="714">
        <v>391800</v>
      </c>
      <c r="U184" s="121"/>
    </row>
    <row r="185" spans="1:21" s="143" customFormat="1" ht="45" customHeight="1" thickBot="1">
      <c r="A185" s="713"/>
      <c r="B185" s="43"/>
      <c r="C185" s="162"/>
      <c r="D185" s="730" t="s">
        <v>44</v>
      </c>
      <c r="E185" s="730"/>
      <c r="F185" s="730"/>
      <c r="G185" s="731"/>
      <c r="H185" s="157" t="s">
        <v>110</v>
      </c>
      <c r="I185" s="147" t="s">
        <v>347</v>
      </c>
      <c r="J185" s="371">
        <v>414800</v>
      </c>
      <c r="K185" s="163" t="s">
        <v>302</v>
      </c>
      <c r="L185" s="354">
        <v>391800</v>
      </c>
      <c r="M185" s="101"/>
      <c r="N185" s="101"/>
      <c r="O185" s="101"/>
      <c r="P185" s="101"/>
      <c r="Q185" s="101"/>
      <c r="R185" s="101"/>
      <c r="S185" s="101"/>
      <c r="T185" s="715"/>
      <c r="U185" s="117"/>
    </row>
    <row r="186" spans="1:21" s="140" customFormat="1" ht="26.25" customHeight="1" thickBot="1">
      <c r="A186" s="712"/>
      <c r="B186" s="141"/>
      <c r="C186" s="197" t="s">
        <v>234</v>
      </c>
      <c r="D186" s="197"/>
      <c r="E186" s="197"/>
      <c r="F186" s="197"/>
      <c r="G186" s="197"/>
      <c r="H186" s="197"/>
      <c r="I186" s="197"/>
      <c r="J186" s="372"/>
      <c r="K186" s="120"/>
      <c r="L186" s="349"/>
      <c r="M186" s="349"/>
      <c r="N186" s="349"/>
      <c r="O186" s="349"/>
      <c r="P186" s="349"/>
      <c r="Q186" s="349"/>
      <c r="R186" s="349"/>
      <c r="S186" s="349"/>
      <c r="T186" s="714">
        <v>4535000</v>
      </c>
      <c r="U186" s="121"/>
    </row>
    <row r="187" spans="1:21" s="143" customFormat="1" ht="109.5" customHeight="1" thickBot="1">
      <c r="A187" s="713"/>
      <c r="B187" s="43"/>
      <c r="C187" s="162"/>
      <c r="D187" s="730" t="s">
        <v>124</v>
      </c>
      <c r="E187" s="730"/>
      <c r="F187" s="730"/>
      <c r="G187" s="731"/>
      <c r="H187" s="234" t="s">
        <v>102</v>
      </c>
      <c r="I187" s="147" t="s">
        <v>235</v>
      </c>
      <c r="J187" s="371">
        <v>39865215</v>
      </c>
      <c r="K187" s="163" t="s">
        <v>302</v>
      </c>
      <c r="L187" s="354">
        <v>605000</v>
      </c>
      <c r="M187" s="101">
        <v>3930000</v>
      </c>
      <c r="N187" s="101">
        <v>3000000</v>
      </c>
      <c r="O187" s="101"/>
      <c r="P187" s="101"/>
      <c r="Q187" s="101"/>
      <c r="R187" s="101"/>
      <c r="S187" s="101"/>
      <c r="T187" s="715"/>
      <c r="U187" s="117"/>
    </row>
    <row r="188" spans="1:21" s="140" customFormat="1" ht="26.25" customHeight="1" thickBot="1">
      <c r="A188" s="712"/>
      <c r="B188" s="141"/>
      <c r="C188" s="380" t="s">
        <v>236</v>
      </c>
      <c r="D188" s="380"/>
      <c r="E188" s="380"/>
      <c r="F188" s="380"/>
      <c r="G188" s="387"/>
      <c r="H188" s="387"/>
      <c r="I188" s="387"/>
      <c r="J188" s="388"/>
      <c r="K188" s="149"/>
      <c r="L188" s="384"/>
      <c r="M188" s="384"/>
      <c r="N188" s="384"/>
      <c r="O188" s="384"/>
      <c r="P188" s="384"/>
      <c r="Q188" s="384"/>
      <c r="R188" s="384"/>
      <c r="S188" s="384"/>
      <c r="T188" s="575">
        <v>2000000</v>
      </c>
      <c r="U188" s="121"/>
    </row>
    <row r="189" spans="1:21" s="143" customFormat="1" ht="45" customHeight="1" thickBot="1">
      <c r="A189" s="713"/>
      <c r="B189" s="43"/>
      <c r="C189" s="114"/>
      <c r="D189" s="716" t="s">
        <v>45</v>
      </c>
      <c r="E189" s="716"/>
      <c r="F189" s="716"/>
      <c r="G189" s="717"/>
      <c r="H189" s="157" t="s">
        <v>101</v>
      </c>
      <c r="I189" s="147" t="s">
        <v>332</v>
      </c>
      <c r="J189" s="371">
        <v>2110000</v>
      </c>
      <c r="K189" s="115" t="s">
        <v>302</v>
      </c>
      <c r="L189" s="369">
        <v>2000000</v>
      </c>
      <c r="M189" s="35"/>
      <c r="N189" s="35"/>
      <c r="O189" s="35"/>
      <c r="P189" s="35"/>
      <c r="Q189" s="35"/>
      <c r="R189" s="35"/>
      <c r="S189" s="35"/>
      <c r="T189" s="715"/>
      <c r="U189" s="117"/>
    </row>
    <row r="190" spans="1:21" s="140" customFormat="1" ht="26.25" customHeight="1" thickBot="1">
      <c r="A190" s="712"/>
      <c r="B190" s="141"/>
      <c r="C190" s="197" t="s">
        <v>237</v>
      </c>
      <c r="D190" s="197"/>
      <c r="E190" s="197"/>
      <c r="F190" s="197"/>
      <c r="G190" s="212"/>
      <c r="H190" s="212"/>
      <c r="I190" s="212"/>
      <c r="J190" s="375"/>
      <c r="K190" s="120"/>
      <c r="L190" s="349"/>
      <c r="M190" s="349"/>
      <c r="N190" s="349"/>
      <c r="O190" s="349"/>
      <c r="P190" s="349"/>
      <c r="Q190" s="349"/>
      <c r="R190" s="349"/>
      <c r="S190" s="349"/>
      <c r="T190" s="714">
        <v>600000</v>
      </c>
      <c r="U190" s="121"/>
    </row>
    <row r="191" spans="1:21" s="143" customFormat="1" ht="47.25" customHeight="1" thickBot="1">
      <c r="A191" s="713"/>
      <c r="B191" s="43"/>
      <c r="C191" s="114"/>
      <c r="D191" s="716" t="s">
        <v>46</v>
      </c>
      <c r="E191" s="716"/>
      <c r="F191" s="716"/>
      <c r="G191" s="717"/>
      <c r="H191" s="157" t="s">
        <v>87</v>
      </c>
      <c r="I191" s="147" t="s">
        <v>327</v>
      </c>
      <c r="J191" s="371">
        <v>600000</v>
      </c>
      <c r="K191" s="115" t="s">
        <v>302</v>
      </c>
      <c r="L191" s="359">
        <v>10000</v>
      </c>
      <c r="M191" s="360">
        <v>590000</v>
      </c>
      <c r="N191" s="35"/>
      <c r="O191" s="35"/>
      <c r="P191" s="35"/>
      <c r="Q191" s="35"/>
      <c r="R191" s="35"/>
      <c r="S191" s="35"/>
      <c r="T191" s="715"/>
      <c r="U191" s="117"/>
    </row>
    <row r="192" spans="1:21" s="140" customFormat="1" ht="26.25" customHeight="1" thickBot="1">
      <c r="A192" s="712"/>
      <c r="B192" s="141"/>
      <c r="C192" s="197" t="s">
        <v>238</v>
      </c>
      <c r="D192" s="197"/>
      <c r="E192" s="197"/>
      <c r="F192" s="197"/>
      <c r="G192" s="212"/>
      <c r="H192" s="212"/>
      <c r="I192" s="212"/>
      <c r="J192" s="375"/>
      <c r="K192" s="120"/>
      <c r="L192" s="349"/>
      <c r="M192" s="349"/>
      <c r="N192" s="349"/>
      <c r="O192" s="349"/>
      <c r="P192" s="349"/>
      <c r="Q192" s="349"/>
      <c r="R192" s="349"/>
      <c r="S192" s="349"/>
      <c r="T192" s="714">
        <v>0</v>
      </c>
      <c r="U192" s="121"/>
    </row>
    <row r="193" spans="1:21" s="143" customFormat="1" ht="45" customHeight="1" thickBot="1">
      <c r="A193" s="713"/>
      <c r="B193" s="43"/>
      <c r="C193" s="114"/>
      <c r="D193" s="716" t="s">
        <v>47</v>
      </c>
      <c r="E193" s="716"/>
      <c r="F193" s="716"/>
      <c r="G193" s="717"/>
      <c r="H193" s="157" t="s">
        <v>100</v>
      </c>
      <c r="I193" s="147" t="s">
        <v>159</v>
      </c>
      <c r="J193" s="371">
        <v>1900000</v>
      </c>
      <c r="K193" s="146" t="s">
        <v>302</v>
      </c>
      <c r="L193" s="108"/>
      <c r="M193" s="109"/>
      <c r="N193" s="109"/>
      <c r="O193" s="109">
        <v>950000</v>
      </c>
      <c r="P193" s="109">
        <v>950000</v>
      </c>
      <c r="Q193" s="109"/>
      <c r="R193" s="109"/>
      <c r="S193" s="109"/>
      <c r="T193" s="715"/>
      <c r="U193" s="117"/>
    </row>
    <row r="194" spans="1:21" s="140" customFormat="1" ht="26.25" customHeight="1" thickBot="1">
      <c r="A194" s="712"/>
      <c r="B194" s="141"/>
      <c r="C194" s="197" t="s">
        <v>239</v>
      </c>
      <c r="D194" s="197"/>
      <c r="E194" s="197"/>
      <c r="F194" s="212"/>
      <c r="G194" s="212"/>
      <c r="H194" s="212"/>
      <c r="I194" s="212"/>
      <c r="J194" s="375"/>
      <c r="K194" s="120"/>
      <c r="L194" s="349"/>
      <c r="M194" s="349"/>
      <c r="N194" s="349"/>
      <c r="O194" s="349"/>
      <c r="P194" s="349"/>
      <c r="Q194" s="349"/>
      <c r="R194" s="349"/>
      <c r="S194" s="349"/>
      <c r="T194" s="714">
        <v>0</v>
      </c>
      <c r="U194" s="121"/>
    </row>
    <row r="195" spans="1:21" s="143" customFormat="1" ht="47.25" customHeight="1" thickBot="1">
      <c r="A195" s="713"/>
      <c r="B195" s="43"/>
      <c r="C195" s="114"/>
      <c r="D195" s="716" t="s">
        <v>48</v>
      </c>
      <c r="E195" s="716"/>
      <c r="F195" s="716"/>
      <c r="G195" s="717"/>
      <c r="H195" s="157" t="s">
        <v>99</v>
      </c>
      <c r="I195" s="147" t="s">
        <v>306</v>
      </c>
      <c r="J195" s="371">
        <v>3716000</v>
      </c>
      <c r="K195" s="146" t="s">
        <v>302</v>
      </c>
      <c r="L195" s="108">
        <v>3350000</v>
      </c>
      <c r="M195" s="109"/>
      <c r="N195" s="109"/>
      <c r="O195" s="109"/>
      <c r="P195" s="109"/>
      <c r="Q195" s="109"/>
      <c r="R195" s="109"/>
      <c r="S195" s="109"/>
      <c r="T195" s="715"/>
      <c r="U195" s="117"/>
    </row>
    <row r="196" spans="1:21" s="140" customFormat="1" ht="26.25" customHeight="1" thickBot="1">
      <c r="A196" s="712"/>
      <c r="B196" s="141"/>
      <c r="C196" s="197" t="s">
        <v>240</v>
      </c>
      <c r="D196" s="197"/>
      <c r="E196" s="197"/>
      <c r="F196" s="197"/>
      <c r="G196" s="197"/>
      <c r="H196" s="197"/>
      <c r="I196" s="197"/>
      <c r="J196" s="372"/>
      <c r="K196" s="120"/>
      <c r="L196" s="349"/>
      <c r="M196" s="349"/>
      <c r="N196" s="349"/>
      <c r="O196" s="349"/>
      <c r="P196" s="349"/>
      <c r="Q196" s="349"/>
      <c r="R196" s="349"/>
      <c r="S196" s="349"/>
      <c r="T196" s="714">
        <v>400000</v>
      </c>
      <c r="U196" s="121"/>
    </row>
    <row r="197" spans="1:21" s="143" customFormat="1" ht="47.25" customHeight="1" thickBot="1">
      <c r="A197" s="713"/>
      <c r="B197" s="43"/>
      <c r="C197" s="114"/>
      <c r="D197" s="716" t="s">
        <v>49</v>
      </c>
      <c r="E197" s="716"/>
      <c r="F197" s="716"/>
      <c r="G197" s="717"/>
      <c r="H197" s="157" t="s">
        <v>98</v>
      </c>
      <c r="I197" s="147" t="s">
        <v>318</v>
      </c>
      <c r="J197" s="371">
        <v>1109500</v>
      </c>
      <c r="K197" s="146" t="s">
        <v>302</v>
      </c>
      <c r="L197" s="108">
        <v>400000</v>
      </c>
      <c r="M197" s="109"/>
      <c r="N197" s="109"/>
      <c r="O197" s="109"/>
      <c r="P197" s="109"/>
      <c r="Q197" s="109"/>
      <c r="R197" s="109"/>
      <c r="S197" s="109"/>
      <c r="T197" s="715"/>
      <c r="U197" s="117"/>
    </row>
    <row r="198" spans="1:21" s="140" customFormat="1" ht="26.25" customHeight="1" thickBot="1">
      <c r="A198" s="712"/>
      <c r="B198" s="141"/>
      <c r="C198" s="197" t="s">
        <v>241</v>
      </c>
      <c r="D198" s="197"/>
      <c r="E198" s="197"/>
      <c r="F198" s="197"/>
      <c r="G198" s="212"/>
      <c r="H198" s="212"/>
      <c r="I198" s="212"/>
      <c r="J198" s="375"/>
      <c r="K198" s="120"/>
      <c r="L198" s="349"/>
      <c r="M198" s="349"/>
      <c r="N198" s="349"/>
      <c r="O198" s="349"/>
      <c r="P198" s="349"/>
      <c r="Q198" s="349"/>
      <c r="R198" s="349"/>
      <c r="S198" s="349"/>
      <c r="T198" s="714">
        <v>1500000</v>
      </c>
      <c r="U198" s="121"/>
    </row>
    <row r="199" spans="1:21" s="143" customFormat="1" ht="45" customHeight="1" thickBot="1">
      <c r="A199" s="713"/>
      <c r="B199" s="43"/>
      <c r="C199" s="114"/>
      <c r="D199" s="716" t="s">
        <v>50</v>
      </c>
      <c r="E199" s="716"/>
      <c r="F199" s="716"/>
      <c r="G199" s="717"/>
      <c r="H199" s="157" t="s">
        <v>97</v>
      </c>
      <c r="I199" s="147" t="s">
        <v>296</v>
      </c>
      <c r="J199" s="371">
        <v>4540000</v>
      </c>
      <c r="K199" s="146" t="s">
        <v>302</v>
      </c>
      <c r="L199" s="108">
        <v>1500000</v>
      </c>
      <c r="M199" s="109"/>
      <c r="N199" s="109"/>
      <c r="O199" s="109"/>
      <c r="P199" s="109"/>
      <c r="Q199" s="109"/>
      <c r="R199" s="109"/>
      <c r="S199" s="109"/>
      <c r="T199" s="715"/>
      <c r="U199" s="117"/>
    </row>
    <row r="200" spans="1:21" s="140" customFormat="1" ht="26.25" customHeight="1" thickBot="1">
      <c r="A200" s="712"/>
      <c r="B200" s="141"/>
      <c r="C200" s="197" t="s">
        <v>242</v>
      </c>
      <c r="D200" s="197"/>
      <c r="E200" s="197"/>
      <c r="F200" s="197"/>
      <c r="G200" s="212"/>
      <c r="H200" s="212"/>
      <c r="I200" s="212"/>
      <c r="J200" s="375"/>
      <c r="K200" s="120"/>
      <c r="L200" s="349"/>
      <c r="M200" s="349"/>
      <c r="N200" s="349"/>
      <c r="O200" s="349"/>
      <c r="P200" s="349"/>
      <c r="Q200" s="349"/>
      <c r="R200" s="349"/>
      <c r="S200" s="349"/>
      <c r="T200" s="714">
        <v>0</v>
      </c>
      <c r="U200" s="121"/>
    </row>
    <row r="201" spans="1:21" s="143" customFormat="1" ht="47.25" customHeight="1" thickBot="1">
      <c r="A201" s="713"/>
      <c r="B201" s="43"/>
      <c r="C201" s="162"/>
      <c r="D201" s="730" t="s">
        <v>51</v>
      </c>
      <c r="E201" s="730"/>
      <c r="F201" s="730"/>
      <c r="G201" s="731"/>
      <c r="H201" s="157" t="s">
        <v>96</v>
      </c>
      <c r="I201" s="147" t="s">
        <v>175</v>
      </c>
      <c r="J201" s="371">
        <v>350000</v>
      </c>
      <c r="K201" s="443" t="s">
        <v>302</v>
      </c>
      <c r="L201" s="444"/>
      <c r="M201" s="238"/>
      <c r="N201" s="238">
        <v>100000</v>
      </c>
      <c r="O201" s="238">
        <v>250000</v>
      </c>
      <c r="P201" s="238"/>
      <c r="Q201" s="238"/>
      <c r="R201" s="238"/>
      <c r="S201" s="238"/>
      <c r="T201" s="715"/>
      <c r="U201" s="117"/>
    </row>
    <row r="202" spans="1:21" s="140" customFormat="1" ht="26.25" customHeight="1" thickBot="1">
      <c r="A202" s="712"/>
      <c r="B202" s="141"/>
      <c r="C202" s="197" t="s">
        <v>454</v>
      </c>
      <c r="D202" s="197"/>
      <c r="E202" s="197"/>
      <c r="F202" s="212"/>
      <c r="G202" s="212"/>
      <c r="H202" s="212"/>
      <c r="I202" s="212"/>
      <c r="J202" s="375"/>
      <c r="K202" s="120"/>
      <c r="L202" s="349"/>
      <c r="M202" s="349"/>
      <c r="N202" s="349"/>
      <c r="O202" s="349"/>
      <c r="P202" s="349"/>
      <c r="Q202" s="349"/>
      <c r="R202" s="349"/>
      <c r="S202" s="349"/>
      <c r="T202" s="714">
        <v>2248640</v>
      </c>
      <c r="U202" s="121"/>
    </row>
    <row r="203" spans="1:21" s="143" customFormat="1" ht="45" customHeight="1" thickBot="1">
      <c r="A203" s="713"/>
      <c r="B203" s="43"/>
      <c r="C203" s="162"/>
      <c r="D203" s="730" t="s">
        <v>455</v>
      </c>
      <c r="E203" s="730"/>
      <c r="F203" s="730"/>
      <c r="G203" s="731"/>
      <c r="H203" s="163" t="s">
        <v>456</v>
      </c>
      <c r="I203" s="163" t="s">
        <v>313</v>
      </c>
      <c r="J203" s="164">
        <v>2250000</v>
      </c>
      <c r="K203" s="163" t="s">
        <v>302</v>
      </c>
      <c r="L203" s="100">
        <v>1498640</v>
      </c>
      <c r="M203" s="101">
        <v>750000</v>
      </c>
      <c r="N203" s="101"/>
      <c r="O203" s="101"/>
      <c r="P203" s="101"/>
      <c r="Q203" s="101"/>
      <c r="R203" s="101"/>
      <c r="S203" s="101"/>
      <c r="T203" s="715"/>
      <c r="U203" s="117"/>
    </row>
    <row r="204" spans="1:21" s="140" customFormat="1" ht="26.25" customHeight="1" thickBot="1">
      <c r="A204" s="712"/>
      <c r="B204" s="141"/>
      <c r="C204" s="197" t="s">
        <v>457</v>
      </c>
      <c r="D204" s="197"/>
      <c r="E204" s="197"/>
      <c r="F204" s="197"/>
      <c r="G204" s="212"/>
      <c r="H204" s="212"/>
      <c r="I204" s="212"/>
      <c r="J204" s="375"/>
      <c r="K204" s="120"/>
      <c r="L204" s="349"/>
      <c r="M204" s="349"/>
      <c r="N204" s="349"/>
      <c r="O204" s="349"/>
      <c r="P204" s="349"/>
      <c r="Q204" s="349"/>
      <c r="R204" s="349"/>
      <c r="S204" s="349"/>
      <c r="T204" s="714">
        <v>2559680</v>
      </c>
      <c r="U204" s="121"/>
    </row>
    <row r="205" spans="1:21" s="143" customFormat="1" ht="47.25" customHeight="1" thickBot="1">
      <c r="A205" s="713"/>
      <c r="B205" s="43"/>
      <c r="C205" s="114"/>
      <c r="D205" s="716" t="s">
        <v>455</v>
      </c>
      <c r="E205" s="716"/>
      <c r="F205" s="716"/>
      <c r="G205" s="717"/>
      <c r="H205" s="115" t="s">
        <v>458</v>
      </c>
      <c r="I205" s="115" t="s">
        <v>313</v>
      </c>
      <c r="J205" s="116">
        <v>2560000</v>
      </c>
      <c r="K205" s="115" t="s">
        <v>302</v>
      </c>
      <c r="L205" s="33">
        <v>1759680</v>
      </c>
      <c r="M205" s="35">
        <v>800000</v>
      </c>
      <c r="N205" s="35"/>
      <c r="O205" s="35"/>
      <c r="P205" s="35"/>
      <c r="Q205" s="35"/>
      <c r="R205" s="35"/>
      <c r="S205" s="35"/>
      <c r="T205" s="715"/>
      <c r="U205" s="117"/>
    </row>
    <row r="206" spans="1:21" s="140" customFormat="1" ht="26.25" customHeight="1" thickBot="1">
      <c r="A206" s="712"/>
      <c r="B206" s="141"/>
      <c r="C206" s="197" t="s">
        <v>581</v>
      </c>
      <c r="D206" s="197"/>
      <c r="E206" s="197"/>
      <c r="F206" s="197"/>
      <c r="G206" s="212"/>
      <c r="H206" s="212"/>
      <c r="I206" s="212"/>
      <c r="J206" s="375"/>
      <c r="K206" s="120"/>
      <c r="L206" s="349"/>
      <c r="M206" s="349"/>
      <c r="N206" s="349"/>
      <c r="O206" s="349"/>
      <c r="P206" s="349"/>
      <c r="Q206" s="349"/>
      <c r="R206" s="349"/>
      <c r="S206" s="349"/>
      <c r="T206" s="714">
        <v>800000</v>
      </c>
      <c r="U206" s="121"/>
    </row>
    <row r="207" spans="1:21" s="143" customFormat="1" ht="47.25" customHeight="1" thickBot="1">
      <c r="A207" s="713"/>
      <c r="B207" s="43"/>
      <c r="C207" s="114"/>
      <c r="D207" s="716" t="s">
        <v>582</v>
      </c>
      <c r="E207" s="716"/>
      <c r="F207" s="716"/>
      <c r="G207" s="717"/>
      <c r="H207" s="115" t="s">
        <v>295</v>
      </c>
      <c r="I207" s="115" t="s">
        <v>327</v>
      </c>
      <c r="J207" s="116">
        <v>800000</v>
      </c>
      <c r="K207" s="115" t="s">
        <v>583</v>
      </c>
      <c r="L207" s="33">
        <v>400000</v>
      </c>
      <c r="M207" s="35">
        <v>400000</v>
      </c>
      <c r="N207" s="35"/>
      <c r="O207" s="35"/>
      <c r="P207" s="35"/>
      <c r="Q207" s="35"/>
      <c r="R207" s="35"/>
      <c r="S207" s="35"/>
      <c r="T207" s="715"/>
      <c r="U207" s="117"/>
    </row>
    <row r="208" spans="1:21" s="140" customFormat="1" ht="26.25" customHeight="1" thickBot="1">
      <c r="A208" s="712"/>
      <c r="B208" s="141"/>
      <c r="C208" s="197" t="s">
        <v>584</v>
      </c>
      <c r="D208" s="197"/>
      <c r="E208" s="197"/>
      <c r="F208" s="197"/>
      <c r="G208" s="212"/>
      <c r="H208" s="212"/>
      <c r="I208" s="212"/>
      <c r="J208" s="375"/>
      <c r="K208" s="120"/>
      <c r="L208" s="349"/>
      <c r="M208" s="349"/>
      <c r="N208" s="349"/>
      <c r="O208" s="349"/>
      <c r="P208" s="349"/>
      <c r="Q208" s="349"/>
      <c r="R208" s="349"/>
      <c r="S208" s="349"/>
      <c r="T208" s="714">
        <v>560000</v>
      </c>
      <c r="U208" s="121"/>
    </row>
    <row r="209" spans="1:21" s="143" customFormat="1" ht="47.25" customHeight="1" thickBot="1">
      <c r="A209" s="713"/>
      <c r="B209" s="43"/>
      <c r="C209" s="114"/>
      <c r="D209" s="716" t="s">
        <v>585</v>
      </c>
      <c r="E209" s="716"/>
      <c r="F209" s="716"/>
      <c r="G209" s="717"/>
      <c r="H209" s="115" t="s">
        <v>295</v>
      </c>
      <c r="I209" s="115" t="s">
        <v>327</v>
      </c>
      <c r="J209" s="116">
        <v>560000</v>
      </c>
      <c r="K209" s="115" t="s">
        <v>297</v>
      </c>
      <c r="L209" s="33">
        <v>280000</v>
      </c>
      <c r="M209" s="35">
        <v>280000</v>
      </c>
      <c r="N209" s="35"/>
      <c r="O209" s="35"/>
      <c r="P209" s="35"/>
      <c r="Q209" s="35"/>
      <c r="R209" s="35"/>
      <c r="S209" s="35"/>
      <c r="T209" s="715"/>
      <c r="U209" s="117"/>
    </row>
    <row r="210" spans="1:21" s="143" customFormat="1" ht="47.25" customHeight="1">
      <c r="A210" s="449"/>
      <c r="B210" s="270"/>
      <c r="C210" s="697" t="s">
        <v>518</v>
      </c>
      <c r="D210" s="698"/>
      <c r="E210" s="698"/>
      <c r="F210" s="698"/>
      <c r="G210" s="698"/>
      <c r="H210" s="698"/>
      <c r="I210" s="699"/>
      <c r="J210" s="706">
        <f>J209+J207+J205+J203+J201+J199+J197+J195+J193+J191+J189+J187+J185+J183+J181+J179</f>
        <v>87225215</v>
      </c>
      <c r="K210" s="213" t="s">
        <v>297</v>
      </c>
      <c r="L210" s="214">
        <f>L207+L209</f>
        <v>680000</v>
      </c>
      <c r="M210" s="215">
        <f aca="true" t="shared" si="15" ref="M210:S210">M207+M209</f>
        <v>680000</v>
      </c>
      <c r="N210" s="215">
        <f t="shared" si="15"/>
        <v>0</v>
      </c>
      <c r="O210" s="215">
        <f t="shared" si="15"/>
        <v>0</v>
      </c>
      <c r="P210" s="215">
        <f t="shared" si="15"/>
        <v>0</v>
      </c>
      <c r="Q210" s="215">
        <f t="shared" si="15"/>
        <v>0</v>
      </c>
      <c r="R210" s="215">
        <f t="shared" si="15"/>
        <v>0</v>
      </c>
      <c r="S210" s="215">
        <f t="shared" si="15"/>
        <v>0</v>
      </c>
      <c r="T210" s="709">
        <f>T208+T206+T204+T202+T200+T198+T196+T194+T192+T190+T188+T186+T184+T182+T180+T178</f>
        <v>24130400</v>
      </c>
      <c r="U210" s="117"/>
    </row>
    <row r="211" spans="1:21" s="143" customFormat="1" ht="47.25" customHeight="1" thickBot="1">
      <c r="A211" s="449"/>
      <c r="B211" s="270"/>
      <c r="C211" s="700"/>
      <c r="D211" s="701"/>
      <c r="E211" s="701"/>
      <c r="F211" s="701"/>
      <c r="G211" s="701"/>
      <c r="H211" s="701"/>
      <c r="I211" s="702"/>
      <c r="J211" s="707"/>
      <c r="K211" s="217" t="s">
        <v>302</v>
      </c>
      <c r="L211" s="218">
        <f>L205+L203+L201+L199+L197+L195+L193+L191+L189+L187+L185+L183+L181+L179</f>
        <v>16792400</v>
      </c>
      <c r="M211" s="219">
        <f aca="true" t="shared" si="16" ref="M211:S211">M205+M203+M201+M199+M197+M195+M193+M191+M189+M187+M185+M183+M181+M179</f>
        <v>10210000</v>
      </c>
      <c r="N211" s="219">
        <f t="shared" si="16"/>
        <v>5100000</v>
      </c>
      <c r="O211" s="219">
        <f t="shared" si="16"/>
        <v>6827000</v>
      </c>
      <c r="P211" s="219">
        <f t="shared" si="16"/>
        <v>6767000</v>
      </c>
      <c r="Q211" s="219">
        <f t="shared" si="16"/>
        <v>0</v>
      </c>
      <c r="R211" s="219">
        <f t="shared" si="16"/>
        <v>0</v>
      </c>
      <c r="S211" s="219">
        <f t="shared" si="16"/>
        <v>0</v>
      </c>
      <c r="T211" s="710"/>
      <c r="U211" s="117"/>
    </row>
    <row r="212" spans="1:20" s="134" customFormat="1" ht="32.25" customHeight="1" thickBot="1">
      <c r="A212" s="67"/>
      <c r="B212" s="133"/>
      <c r="C212" s="703"/>
      <c r="D212" s="704"/>
      <c r="E212" s="704"/>
      <c r="F212" s="704"/>
      <c r="G212" s="704"/>
      <c r="H212" s="704"/>
      <c r="I212" s="705"/>
      <c r="J212" s="708">
        <f>+J205+J203+J201+J199+J197+J195+J193+J191+J189+J187+J185+J181+J183+J179</f>
        <v>85865215</v>
      </c>
      <c r="K212" s="220" t="s">
        <v>301</v>
      </c>
      <c r="L212" s="221">
        <f>L210+L211</f>
        <v>17472400</v>
      </c>
      <c r="M212" s="222">
        <f aca="true" t="shared" si="17" ref="M212:S212">M210+M211</f>
        <v>10890000</v>
      </c>
      <c r="N212" s="222">
        <f t="shared" si="17"/>
        <v>5100000</v>
      </c>
      <c r="O212" s="222">
        <f t="shared" si="17"/>
        <v>6827000</v>
      </c>
      <c r="P212" s="222">
        <f t="shared" si="17"/>
        <v>6767000</v>
      </c>
      <c r="Q212" s="222">
        <f t="shared" si="17"/>
        <v>0</v>
      </c>
      <c r="R212" s="222">
        <f t="shared" si="17"/>
        <v>0</v>
      </c>
      <c r="S212" s="223">
        <f t="shared" si="17"/>
        <v>0</v>
      </c>
      <c r="T212" s="711">
        <f>T204+T202+T200+T198+T196+T194+T192+T190+T188+T186+T184+T180+T182+T178</f>
        <v>22770400</v>
      </c>
    </row>
    <row r="213" spans="1:20" s="195" customFormat="1" ht="20.25" customHeight="1" thickBot="1">
      <c r="A213" s="189"/>
      <c r="B213" s="190"/>
      <c r="C213" s="459" t="s">
        <v>423</v>
      </c>
      <c r="D213" s="455"/>
      <c r="E213" s="455"/>
      <c r="F213" s="455"/>
      <c r="G213" s="455"/>
      <c r="H213" s="191"/>
      <c r="I213" s="191"/>
      <c r="J213" s="191"/>
      <c r="K213" s="189"/>
      <c r="L213" s="189"/>
      <c r="M213" s="192"/>
      <c r="N213" s="193"/>
      <c r="O213" s="193"/>
      <c r="P213" s="193"/>
      <c r="Q213" s="193"/>
      <c r="R213" s="193"/>
      <c r="S213" s="193"/>
      <c r="T213" s="241"/>
    </row>
    <row r="214" spans="1:21" s="140" customFormat="1" ht="32.25" customHeight="1" thickBot="1">
      <c r="A214" s="712"/>
      <c r="B214" s="141"/>
      <c r="C214" s="197" t="s">
        <v>269</v>
      </c>
      <c r="D214" s="197"/>
      <c r="E214" s="197"/>
      <c r="F214" s="197"/>
      <c r="G214" s="197"/>
      <c r="H214" s="197"/>
      <c r="I214" s="197"/>
      <c r="J214" s="372"/>
      <c r="K214" s="120"/>
      <c r="L214" s="120"/>
      <c r="M214" s="120"/>
      <c r="N214" s="120"/>
      <c r="O214" s="120"/>
      <c r="P214" s="120"/>
      <c r="Q214" s="120"/>
      <c r="R214" s="120"/>
      <c r="S214" s="120"/>
      <c r="T214" s="714">
        <v>9000000</v>
      </c>
      <c r="U214" s="121"/>
    </row>
    <row r="215" spans="1:21" s="143" customFormat="1" ht="45" customHeight="1" thickBot="1">
      <c r="A215" s="713"/>
      <c r="B215" s="43"/>
      <c r="C215" s="162"/>
      <c r="D215" s="730" t="s">
        <v>270</v>
      </c>
      <c r="E215" s="730"/>
      <c r="F215" s="730"/>
      <c r="G215" s="731"/>
      <c r="H215" s="427" t="s">
        <v>88</v>
      </c>
      <c r="I215" s="421" t="s">
        <v>175</v>
      </c>
      <c r="J215" s="428">
        <v>9000000</v>
      </c>
      <c r="K215" s="163" t="s">
        <v>302</v>
      </c>
      <c r="L215" s="100"/>
      <c r="M215" s="101"/>
      <c r="N215" s="429">
        <v>4000000</v>
      </c>
      <c r="O215" s="429">
        <v>5000000</v>
      </c>
      <c r="P215" s="101"/>
      <c r="Q215" s="101"/>
      <c r="R215" s="101"/>
      <c r="S215" s="101"/>
      <c r="T215" s="715"/>
      <c r="U215" s="117"/>
    </row>
    <row r="216" spans="1:21" s="140" customFormat="1" ht="32.25" customHeight="1" thickBot="1">
      <c r="A216" s="712"/>
      <c r="B216" s="141"/>
      <c r="C216" s="380" t="s">
        <v>271</v>
      </c>
      <c r="D216" s="380"/>
      <c r="E216" s="380"/>
      <c r="F216" s="380"/>
      <c r="G216" s="387"/>
      <c r="H216" s="387"/>
      <c r="I216" s="387"/>
      <c r="J216" s="388"/>
      <c r="K216" s="149"/>
      <c r="L216" s="384"/>
      <c r="M216" s="384"/>
      <c r="N216" s="384"/>
      <c r="O216" s="384"/>
      <c r="P216" s="384"/>
      <c r="Q216" s="384"/>
      <c r="R216" s="384"/>
      <c r="S216" s="384"/>
      <c r="T216" s="575">
        <v>3014300</v>
      </c>
      <c r="U216" s="121"/>
    </row>
    <row r="217" spans="1:21" s="143" customFormat="1" ht="63" customHeight="1" thickBot="1">
      <c r="A217" s="713"/>
      <c r="B217" s="43"/>
      <c r="C217" s="114"/>
      <c r="D217" s="741" t="s">
        <v>272</v>
      </c>
      <c r="E217" s="741"/>
      <c r="F217" s="741"/>
      <c r="G217" s="742"/>
      <c r="H217" s="232" t="s">
        <v>95</v>
      </c>
      <c r="I217" s="142" t="s">
        <v>347</v>
      </c>
      <c r="J217" s="376">
        <v>3764370</v>
      </c>
      <c r="K217" s="115" t="s">
        <v>302</v>
      </c>
      <c r="L217" s="370">
        <v>3014300</v>
      </c>
      <c r="M217" s="35"/>
      <c r="N217" s="35"/>
      <c r="O217" s="35"/>
      <c r="P217" s="35"/>
      <c r="Q217" s="35"/>
      <c r="R217" s="35"/>
      <c r="S217" s="35"/>
      <c r="T217" s="715"/>
      <c r="U217" s="117"/>
    </row>
    <row r="218" spans="1:21" s="140" customFormat="1" ht="32.25" customHeight="1" thickBot="1">
      <c r="A218" s="712"/>
      <c r="B218" s="141"/>
      <c r="C218" s="197" t="s">
        <v>274</v>
      </c>
      <c r="D218" s="197"/>
      <c r="E218" s="197"/>
      <c r="F218" s="197"/>
      <c r="G218" s="212"/>
      <c r="H218" s="212"/>
      <c r="I218" s="212"/>
      <c r="J218" s="375"/>
      <c r="K218" s="120"/>
      <c r="L218" s="349"/>
      <c r="M218" s="349"/>
      <c r="N218" s="349"/>
      <c r="O218" s="349"/>
      <c r="P218" s="349"/>
      <c r="Q218" s="349"/>
      <c r="R218" s="349"/>
      <c r="S218" s="349"/>
      <c r="T218" s="714">
        <v>1500000</v>
      </c>
      <c r="U218" s="121"/>
    </row>
    <row r="219" spans="1:21" s="143" customFormat="1" ht="32.25" customHeight="1" thickBot="1">
      <c r="A219" s="713"/>
      <c r="B219" s="43"/>
      <c r="C219" s="114"/>
      <c r="D219" s="716" t="s">
        <v>275</v>
      </c>
      <c r="E219" s="716"/>
      <c r="F219" s="716"/>
      <c r="G219" s="717"/>
      <c r="H219" s="232" t="s">
        <v>94</v>
      </c>
      <c r="I219" s="142" t="s">
        <v>313</v>
      </c>
      <c r="J219" s="376">
        <v>2400000</v>
      </c>
      <c r="K219" s="115" t="s">
        <v>302</v>
      </c>
      <c r="L219" s="370">
        <v>500000</v>
      </c>
      <c r="M219" s="370">
        <v>1000000</v>
      </c>
      <c r="N219" s="35"/>
      <c r="O219" s="35"/>
      <c r="P219" s="35"/>
      <c r="Q219" s="35"/>
      <c r="R219" s="35"/>
      <c r="S219" s="35"/>
      <c r="T219" s="715"/>
      <c r="U219" s="117"/>
    </row>
    <row r="220" spans="1:21" s="140" customFormat="1" ht="32.25" customHeight="1" thickBot="1">
      <c r="A220" s="712"/>
      <c r="B220" s="141"/>
      <c r="C220" s="197" t="s">
        <v>276</v>
      </c>
      <c r="D220" s="197"/>
      <c r="E220" s="197"/>
      <c r="F220" s="197"/>
      <c r="G220" s="212"/>
      <c r="H220" s="212"/>
      <c r="I220" s="212"/>
      <c r="J220" s="375"/>
      <c r="K220" s="120"/>
      <c r="L220" s="349"/>
      <c r="M220" s="349"/>
      <c r="N220" s="349"/>
      <c r="O220" s="349"/>
      <c r="P220" s="349"/>
      <c r="Q220" s="349"/>
      <c r="R220" s="349"/>
      <c r="S220" s="349"/>
      <c r="T220" s="714">
        <v>290000</v>
      </c>
      <c r="U220" s="121"/>
    </row>
    <row r="221" spans="1:21" s="143" customFormat="1" ht="58.5" customHeight="1" thickBot="1">
      <c r="A221" s="713"/>
      <c r="B221" s="43"/>
      <c r="C221" s="162"/>
      <c r="D221" s="730" t="s">
        <v>277</v>
      </c>
      <c r="E221" s="730"/>
      <c r="F221" s="730"/>
      <c r="G221" s="731"/>
      <c r="H221" s="163" t="s">
        <v>89</v>
      </c>
      <c r="I221" s="163" t="s">
        <v>296</v>
      </c>
      <c r="J221" s="164">
        <v>990400</v>
      </c>
      <c r="K221" s="163" t="s">
        <v>302</v>
      </c>
      <c r="L221" s="100">
        <v>290000</v>
      </c>
      <c r="M221" s="101">
        <v>300000</v>
      </c>
      <c r="N221" s="101"/>
      <c r="O221" s="101"/>
      <c r="P221" s="101"/>
      <c r="Q221" s="101"/>
      <c r="R221" s="101"/>
      <c r="S221" s="101"/>
      <c r="T221" s="715"/>
      <c r="U221" s="117"/>
    </row>
    <row r="222" spans="1:21" s="140" customFormat="1" ht="32.25" customHeight="1" thickBot="1">
      <c r="A222" s="712"/>
      <c r="B222" s="141"/>
      <c r="C222" s="197" t="s">
        <v>0</v>
      </c>
      <c r="D222" s="197"/>
      <c r="E222" s="197"/>
      <c r="F222" s="197"/>
      <c r="G222" s="197"/>
      <c r="H222" s="197"/>
      <c r="I222" s="197"/>
      <c r="J222" s="372"/>
      <c r="K222" s="120"/>
      <c r="L222" s="349"/>
      <c r="M222" s="349"/>
      <c r="N222" s="349"/>
      <c r="O222" s="349"/>
      <c r="P222" s="349"/>
      <c r="Q222" s="349"/>
      <c r="R222" s="349"/>
      <c r="S222" s="349"/>
      <c r="T222" s="714">
        <v>1341750</v>
      </c>
      <c r="U222" s="121"/>
    </row>
    <row r="223" spans="1:21" s="143" customFormat="1" ht="69.75" customHeight="1" thickBot="1">
      <c r="A223" s="713"/>
      <c r="B223" s="43"/>
      <c r="C223" s="114"/>
      <c r="D223" s="716" t="s">
        <v>54</v>
      </c>
      <c r="E223" s="716"/>
      <c r="F223" s="716"/>
      <c r="G223" s="717"/>
      <c r="H223" s="115" t="s">
        <v>93</v>
      </c>
      <c r="I223" s="115" t="s">
        <v>306</v>
      </c>
      <c r="J223" s="116">
        <v>1661300</v>
      </c>
      <c r="K223" s="115" t="s">
        <v>302</v>
      </c>
      <c r="L223" s="33">
        <v>1341750</v>
      </c>
      <c r="M223" s="35"/>
      <c r="N223" s="35"/>
      <c r="O223" s="35"/>
      <c r="P223" s="35"/>
      <c r="Q223" s="35"/>
      <c r="R223" s="35"/>
      <c r="S223" s="35"/>
      <c r="T223" s="715"/>
      <c r="U223" s="117"/>
    </row>
    <row r="224" spans="1:21" s="140" customFormat="1" ht="32.25" customHeight="1" thickBot="1">
      <c r="A224" s="712"/>
      <c r="B224" s="141"/>
      <c r="C224" s="197" t="s">
        <v>1</v>
      </c>
      <c r="D224" s="197"/>
      <c r="E224" s="197"/>
      <c r="F224" s="197"/>
      <c r="G224" s="212"/>
      <c r="H224" s="212"/>
      <c r="I224" s="212"/>
      <c r="J224" s="375"/>
      <c r="K224" s="120"/>
      <c r="L224" s="349"/>
      <c r="M224" s="349"/>
      <c r="N224" s="349"/>
      <c r="O224" s="349"/>
      <c r="P224" s="349"/>
      <c r="Q224" s="349"/>
      <c r="R224" s="349"/>
      <c r="S224" s="349"/>
      <c r="T224" s="714">
        <v>0</v>
      </c>
      <c r="U224" s="121"/>
    </row>
    <row r="225" spans="1:21" s="143" customFormat="1" ht="68.25" customHeight="1" thickBot="1">
      <c r="A225" s="713"/>
      <c r="B225" s="43"/>
      <c r="C225" s="114"/>
      <c r="D225" s="716" t="s">
        <v>52</v>
      </c>
      <c r="E225" s="716"/>
      <c r="F225" s="716"/>
      <c r="G225" s="717"/>
      <c r="H225" s="115" t="s">
        <v>92</v>
      </c>
      <c r="I225" s="115" t="s">
        <v>148</v>
      </c>
      <c r="J225" s="116">
        <v>64445970</v>
      </c>
      <c r="K225" s="115" t="s">
        <v>302</v>
      </c>
      <c r="L225" s="33">
        <v>36626670</v>
      </c>
      <c r="M225" s="35">
        <f>10923060-2</f>
        <v>10923058</v>
      </c>
      <c r="N225" s="35"/>
      <c r="O225" s="35"/>
      <c r="P225" s="35"/>
      <c r="Q225" s="35"/>
      <c r="R225" s="35"/>
      <c r="S225" s="35"/>
      <c r="T225" s="715"/>
      <c r="U225" s="117"/>
    </row>
    <row r="226" spans="1:21" s="140" customFormat="1" ht="32.25" customHeight="1" thickBot="1">
      <c r="A226" s="712"/>
      <c r="B226" s="141"/>
      <c r="C226" s="197" t="s">
        <v>2</v>
      </c>
      <c r="D226" s="197"/>
      <c r="E226" s="197"/>
      <c r="F226" s="197"/>
      <c r="G226" s="197"/>
      <c r="H226" s="197"/>
      <c r="I226" s="197"/>
      <c r="J226" s="372"/>
      <c r="K226" s="120"/>
      <c r="L226" s="349"/>
      <c r="M226" s="349"/>
      <c r="N226" s="349"/>
      <c r="O226" s="349"/>
      <c r="P226" s="349"/>
      <c r="Q226" s="349"/>
      <c r="R226" s="349"/>
      <c r="S226" s="349"/>
      <c r="T226" s="714">
        <f>SUM(L227:M227)</f>
        <v>19638510</v>
      </c>
      <c r="U226" s="121"/>
    </row>
    <row r="227" spans="1:21" s="143" customFormat="1" ht="42" customHeight="1" thickBot="1">
      <c r="A227" s="713"/>
      <c r="B227" s="43"/>
      <c r="C227" s="162"/>
      <c r="D227" s="730" t="s">
        <v>53</v>
      </c>
      <c r="E227" s="730"/>
      <c r="F227" s="730"/>
      <c r="G227" s="731"/>
      <c r="H227" s="163" t="s">
        <v>91</v>
      </c>
      <c r="I227" s="163" t="s">
        <v>313</v>
      </c>
      <c r="J227" s="164">
        <v>19938510</v>
      </c>
      <c r="K227" s="163" t="s">
        <v>302</v>
      </c>
      <c r="L227" s="100">
        <v>8812880</v>
      </c>
      <c r="M227" s="101">
        <v>10825630</v>
      </c>
      <c r="N227" s="101"/>
      <c r="O227" s="101"/>
      <c r="P227" s="101"/>
      <c r="Q227" s="101"/>
      <c r="R227" s="101"/>
      <c r="S227" s="101"/>
      <c r="T227" s="715"/>
      <c r="U227" s="117"/>
    </row>
    <row r="228" spans="1:21" s="140" customFormat="1" ht="32.25" customHeight="1" thickBot="1">
      <c r="A228" s="712"/>
      <c r="B228" s="141"/>
      <c r="C228" s="197" t="s">
        <v>3</v>
      </c>
      <c r="D228" s="197"/>
      <c r="E228" s="197"/>
      <c r="F228" s="197"/>
      <c r="G228" s="212"/>
      <c r="H228" s="212"/>
      <c r="I228" s="212"/>
      <c r="J228" s="375"/>
      <c r="K228" s="120"/>
      <c r="L228" s="349"/>
      <c r="M228" s="349"/>
      <c r="N228" s="349"/>
      <c r="O228" s="349"/>
      <c r="P228" s="349"/>
      <c r="Q228" s="349"/>
      <c r="R228" s="349"/>
      <c r="S228" s="349"/>
      <c r="T228" s="714">
        <v>849620</v>
      </c>
      <c r="U228" s="121"/>
    </row>
    <row r="229" spans="1:21" s="143" customFormat="1" ht="66" customHeight="1" thickBot="1">
      <c r="A229" s="713"/>
      <c r="B229" s="43"/>
      <c r="C229" s="114"/>
      <c r="D229" s="716" t="s">
        <v>273</v>
      </c>
      <c r="E229" s="716"/>
      <c r="F229" s="716"/>
      <c r="G229" s="717"/>
      <c r="H229" s="233" t="s">
        <v>90</v>
      </c>
      <c r="I229" s="115" t="s">
        <v>148</v>
      </c>
      <c r="J229" s="116">
        <v>2906490</v>
      </c>
      <c r="K229" s="115" t="s">
        <v>302</v>
      </c>
      <c r="L229" s="33">
        <v>700000</v>
      </c>
      <c r="M229" s="35">
        <v>149620</v>
      </c>
      <c r="N229" s="35"/>
      <c r="O229" s="35"/>
      <c r="P229" s="35"/>
      <c r="Q229" s="35"/>
      <c r="R229" s="35"/>
      <c r="S229" s="35"/>
      <c r="T229" s="715"/>
      <c r="U229" s="117"/>
    </row>
    <row r="230" spans="1:20" s="134" customFormat="1" ht="32.25" customHeight="1" thickBot="1">
      <c r="A230" s="67"/>
      <c r="B230" s="133"/>
      <c r="C230" s="737" t="s">
        <v>518</v>
      </c>
      <c r="D230" s="738"/>
      <c r="E230" s="738"/>
      <c r="F230" s="738"/>
      <c r="G230" s="738"/>
      <c r="H230" s="738"/>
      <c r="I230" s="739"/>
      <c r="J230" s="210">
        <f>J229+J227+J225+J223+J221+J219+J217+J215</f>
        <v>105107040</v>
      </c>
      <c r="K230" s="211" t="s">
        <v>302</v>
      </c>
      <c r="L230" s="224">
        <f aca="true" t="shared" si="18" ref="L230:S230">+L229+L227+L225+L223+L221+L219+L217+L215</f>
        <v>51285600</v>
      </c>
      <c r="M230" s="225">
        <f t="shared" si="18"/>
        <v>23198308</v>
      </c>
      <c r="N230" s="225">
        <f t="shared" si="18"/>
        <v>4000000</v>
      </c>
      <c r="O230" s="225">
        <f t="shared" si="18"/>
        <v>5000000</v>
      </c>
      <c r="P230" s="225">
        <f t="shared" si="18"/>
        <v>0</v>
      </c>
      <c r="Q230" s="225">
        <f t="shared" si="18"/>
        <v>0</v>
      </c>
      <c r="R230" s="225">
        <f t="shared" si="18"/>
        <v>0</v>
      </c>
      <c r="S230" s="226">
        <f t="shared" si="18"/>
        <v>0</v>
      </c>
      <c r="T230" s="227">
        <f>T228+T226+T224+T222+T220+T218+T216+T214</f>
        <v>35634180</v>
      </c>
    </row>
    <row r="231" spans="1:20" s="134" customFormat="1" ht="32.25" customHeight="1">
      <c r="A231" s="68"/>
      <c r="B231" s="133"/>
      <c r="C231" s="752" t="s">
        <v>428</v>
      </c>
      <c r="D231" s="753"/>
      <c r="E231" s="753"/>
      <c r="F231" s="753"/>
      <c r="G231" s="753"/>
      <c r="H231" s="753"/>
      <c r="I231" s="754"/>
      <c r="J231" s="761">
        <f>J230+J210+J174+J136+J120+J116+J110+J98+J94+J86+J72</f>
        <v>3471477499</v>
      </c>
      <c r="K231" s="176" t="s">
        <v>297</v>
      </c>
      <c r="L231" s="177">
        <f>L174+L116+L110+L86+L210</f>
        <v>35431556</v>
      </c>
      <c r="M231" s="178">
        <f aca="true" t="shared" si="19" ref="M231:S231">M174+M116+M110+M86+M210</f>
        <v>54722426</v>
      </c>
      <c r="N231" s="178">
        <f t="shared" si="19"/>
        <v>23161669</v>
      </c>
      <c r="O231" s="178">
        <f t="shared" si="19"/>
        <v>0</v>
      </c>
      <c r="P231" s="178">
        <f t="shared" si="19"/>
        <v>0</v>
      </c>
      <c r="Q231" s="178">
        <f t="shared" si="19"/>
        <v>0</v>
      </c>
      <c r="R231" s="178">
        <f t="shared" si="19"/>
        <v>0</v>
      </c>
      <c r="S231" s="178">
        <f t="shared" si="19"/>
        <v>0</v>
      </c>
      <c r="T231" s="764">
        <f>T230+T212+T174+T136+T120+T116+T110+T98+T94+T86+T72</f>
        <v>630339031</v>
      </c>
    </row>
    <row r="232" spans="1:20" s="134" customFormat="1" ht="32.25" customHeight="1">
      <c r="A232" s="68"/>
      <c r="B232" s="133"/>
      <c r="C232" s="755"/>
      <c r="D232" s="756"/>
      <c r="E232" s="756"/>
      <c r="F232" s="756"/>
      <c r="G232" s="756"/>
      <c r="H232" s="756"/>
      <c r="I232" s="757"/>
      <c r="J232" s="762"/>
      <c r="K232" s="179" t="s">
        <v>302</v>
      </c>
      <c r="L232" s="180">
        <f>L230+L211+L175+L136+L120+L111+L98+L94+L87+L72</f>
        <v>459691002</v>
      </c>
      <c r="M232" s="181">
        <f aca="true" t="shared" si="20" ref="M232:S232">M230+M211+M175+M136+M120+M111+M98+M94+M87+M72</f>
        <v>248199708</v>
      </c>
      <c r="N232" s="181">
        <f t="shared" si="20"/>
        <v>121391400</v>
      </c>
      <c r="O232" s="181">
        <f t="shared" si="20"/>
        <v>261393800</v>
      </c>
      <c r="P232" s="181">
        <f t="shared" si="20"/>
        <v>133150300</v>
      </c>
      <c r="Q232" s="181">
        <f t="shared" si="20"/>
        <v>138600000</v>
      </c>
      <c r="R232" s="181">
        <f t="shared" si="20"/>
        <v>77500000</v>
      </c>
      <c r="S232" s="181">
        <f t="shared" si="20"/>
        <v>64176800</v>
      </c>
      <c r="T232" s="765"/>
    </row>
    <row r="233" spans="1:20" s="135" customFormat="1" ht="32.25" customHeight="1" thickBot="1">
      <c r="A233" s="65"/>
      <c r="B233" s="133"/>
      <c r="C233" s="758"/>
      <c r="D233" s="759"/>
      <c r="E233" s="759"/>
      <c r="F233" s="759"/>
      <c r="G233" s="759"/>
      <c r="H233" s="759"/>
      <c r="I233" s="760"/>
      <c r="J233" s="763"/>
      <c r="K233" s="182" t="s">
        <v>301</v>
      </c>
      <c r="L233" s="183">
        <f>SUM(L231:L232)</f>
        <v>495122558</v>
      </c>
      <c r="M233" s="184">
        <f aca="true" t="shared" si="21" ref="M233:S233">SUM(M231:M232)</f>
        <v>302922134</v>
      </c>
      <c r="N233" s="184">
        <f t="shared" si="21"/>
        <v>144553069</v>
      </c>
      <c r="O233" s="184">
        <f t="shared" si="21"/>
        <v>261393800</v>
      </c>
      <c r="P233" s="184">
        <f t="shared" si="21"/>
        <v>133150300</v>
      </c>
      <c r="Q233" s="184">
        <f t="shared" si="21"/>
        <v>138600000</v>
      </c>
      <c r="R233" s="184">
        <f t="shared" si="21"/>
        <v>77500000</v>
      </c>
      <c r="S233" s="185">
        <f t="shared" si="21"/>
        <v>64176800</v>
      </c>
      <c r="T233" s="766"/>
    </row>
    <row r="234" spans="12:19" ht="15" customHeight="1">
      <c r="L234" s="483"/>
      <c r="M234" s="483"/>
      <c r="N234" s="483"/>
      <c r="O234" s="483"/>
      <c r="P234" s="483"/>
      <c r="Q234" s="483"/>
      <c r="R234" s="483"/>
      <c r="S234" s="483"/>
    </row>
    <row r="235" spans="10:20" ht="15" customHeight="1">
      <c r="J235" s="483">
        <f>J229+J227+J225+J223+J221+J219+J217+J215+J209+J207+J205+J203+J201+J199+J197+J195+J193+J191+J189+J187+J185+J183+J181+J179+J173+J171+J169+J167+J165+J161+J159+J157+J155+J153+J151+J149+J147+J145+J143+J141+J139+J135+J133+J131+J129+J127+J125+J123+J119+J115+J109+J107+J105+J103+J101+J97+J93+J91+J85+J83+J81+J79+J77+J75+J71+J69+J67+J65+J63+J61+J59+J57+J55+J53+J51+J49+J47+J45+J43+J41+J37+J35+J33+J31+J29+J27+J25+J23+J21+J19+J17+J15+J13+J11+J9+J7</f>
        <v>3471477499</v>
      </c>
      <c r="K235" s="483"/>
      <c r="L235" s="483">
        <f aca="true" t="shared" si="22" ref="L235:S235">L229+L227+L225+L223+L221+L219+L217+L215+L209+L207+L205+L203+L201+L199+L197+L195+L193+L191+L189+L187+L185+L183+L181+L179+L173+L171+L169+L167+L165+L161+L159+L157+L155+L153+L151+L149+L147+L145+L143+L141+L139+L135+L133+L131+L129+L127+L125+L123+L119+L115+L109+L107+L105+L103+L101+L97+L93+L91+L85+L83+L81+L79+L77+L75+L71+L69+L67+L65+L63+L61+L59+L57+L55+L53+L51+L49+L47+L45+L43+L41+L37+L35+L33+L31+L29+L27+L25+L23+L21+L19+L17+L15+L13+L11+L9+L7</f>
        <v>495122558</v>
      </c>
      <c r="M235" s="483">
        <f t="shared" si="22"/>
        <v>302922134</v>
      </c>
      <c r="N235" s="483">
        <f t="shared" si="22"/>
        <v>144553069</v>
      </c>
      <c r="O235" s="483">
        <f t="shared" si="22"/>
        <v>261393800</v>
      </c>
      <c r="P235" s="483">
        <f t="shared" si="22"/>
        <v>133150300</v>
      </c>
      <c r="Q235" s="483">
        <f t="shared" si="22"/>
        <v>138600000</v>
      </c>
      <c r="R235" s="483">
        <f t="shared" si="22"/>
        <v>77500000</v>
      </c>
      <c r="S235" s="483">
        <f t="shared" si="22"/>
        <v>64176800</v>
      </c>
      <c r="T235" s="483"/>
    </row>
    <row r="236" spans="10:20" ht="15" customHeight="1">
      <c r="J236" s="483" t="b">
        <f>J231=J235</f>
        <v>1</v>
      </c>
      <c r="K236" s="483"/>
      <c r="L236" s="483" t="b">
        <f>L233=L235</f>
        <v>1</v>
      </c>
      <c r="M236" s="483" t="b">
        <f>M233=M235</f>
        <v>1</v>
      </c>
      <c r="N236" s="483" t="b">
        <f aca="true" t="shared" si="23" ref="N236:S236">N233=N235</f>
        <v>1</v>
      </c>
      <c r="O236" s="483" t="b">
        <f t="shared" si="23"/>
        <v>1</v>
      </c>
      <c r="P236" s="483" t="b">
        <f t="shared" si="23"/>
        <v>1</v>
      </c>
      <c r="Q236" s="483" t="b">
        <f t="shared" si="23"/>
        <v>1</v>
      </c>
      <c r="R236" s="483" t="b">
        <f t="shared" si="23"/>
        <v>1</v>
      </c>
      <c r="S236" s="483" t="b">
        <f t="shared" si="23"/>
        <v>1</v>
      </c>
      <c r="T236" s="483"/>
    </row>
    <row r="237" spans="10:20" ht="15" customHeight="1">
      <c r="J237" s="483">
        <f>J235-J231</f>
        <v>0</v>
      </c>
      <c r="L237" s="483"/>
      <c r="M237" s="483"/>
      <c r="N237" s="483"/>
      <c r="O237" s="483"/>
      <c r="P237" s="483"/>
      <c r="Q237" s="483"/>
      <c r="R237" s="483"/>
      <c r="S237" s="483"/>
      <c r="T237" s="483"/>
    </row>
    <row r="238" spans="12:19" ht="15" customHeight="1">
      <c r="L238" s="483">
        <f>L72</f>
        <v>216231450</v>
      </c>
      <c r="M238" s="483">
        <f aca="true" t="shared" si="24" ref="M238:S238">M72</f>
        <v>168691400</v>
      </c>
      <c r="N238" s="483">
        <f t="shared" si="24"/>
        <v>94311400</v>
      </c>
      <c r="O238" s="483">
        <f t="shared" si="24"/>
        <v>220571800</v>
      </c>
      <c r="P238" s="483">
        <f t="shared" si="24"/>
        <v>119033300</v>
      </c>
      <c r="Q238" s="483">
        <f t="shared" si="24"/>
        <v>138600000</v>
      </c>
      <c r="R238" s="483">
        <f t="shared" si="24"/>
        <v>77500000</v>
      </c>
      <c r="S238" s="483">
        <f t="shared" si="24"/>
        <v>64176800</v>
      </c>
    </row>
    <row r="239" spans="12:19" ht="15" customHeight="1">
      <c r="L239" s="483">
        <f>L88</f>
        <v>130722585</v>
      </c>
      <c r="M239" s="483">
        <f aca="true" t="shared" si="25" ref="M239:S239">M88</f>
        <v>22400000</v>
      </c>
      <c r="N239" s="483">
        <f t="shared" si="25"/>
        <v>1000000</v>
      </c>
      <c r="O239" s="483">
        <f t="shared" si="25"/>
        <v>1665000</v>
      </c>
      <c r="P239" s="483">
        <f t="shared" si="25"/>
        <v>0</v>
      </c>
      <c r="Q239" s="483">
        <f t="shared" si="25"/>
        <v>0</v>
      </c>
      <c r="R239" s="483">
        <f t="shared" si="25"/>
        <v>0</v>
      </c>
      <c r="S239" s="483">
        <f t="shared" si="25"/>
        <v>0</v>
      </c>
    </row>
    <row r="240" spans="12:19" ht="15" customHeight="1">
      <c r="L240" s="483">
        <f>L94</f>
        <v>7200000</v>
      </c>
      <c r="M240" s="483">
        <f aca="true" t="shared" si="26" ref="M240:S240">M94</f>
        <v>22600000</v>
      </c>
      <c r="N240" s="483">
        <f t="shared" si="26"/>
        <v>0</v>
      </c>
      <c r="O240" s="483">
        <f t="shared" si="26"/>
        <v>200000</v>
      </c>
      <c r="P240" s="483">
        <f t="shared" si="26"/>
        <v>800000</v>
      </c>
      <c r="Q240" s="483">
        <f t="shared" si="26"/>
        <v>0</v>
      </c>
      <c r="R240" s="483">
        <f t="shared" si="26"/>
        <v>0</v>
      </c>
      <c r="S240" s="483">
        <f t="shared" si="26"/>
        <v>0</v>
      </c>
    </row>
    <row r="241" spans="12:19" ht="15" customHeight="1">
      <c r="L241" s="483">
        <f>L98</f>
        <v>30000</v>
      </c>
      <c r="M241" s="483">
        <f aca="true" t="shared" si="27" ref="M241:S241">M98</f>
        <v>0</v>
      </c>
      <c r="N241" s="483">
        <f t="shared" si="27"/>
        <v>0</v>
      </c>
      <c r="O241" s="483">
        <f t="shared" si="27"/>
        <v>0</v>
      </c>
      <c r="P241" s="483">
        <f t="shared" si="27"/>
        <v>0</v>
      </c>
      <c r="Q241" s="483">
        <f t="shared" si="27"/>
        <v>0</v>
      </c>
      <c r="R241" s="483">
        <f t="shared" si="27"/>
        <v>0</v>
      </c>
      <c r="S241" s="483">
        <f t="shared" si="27"/>
        <v>0</v>
      </c>
    </row>
    <row r="242" spans="12:19" ht="15" customHeight="1">
      <c r="L242" s="483">
        <f>L112</f>
        <v>2462400</v>
      </c>
      <c r="M242" s="483">
        <f aca="true" t="shared" si="28" ref="M242:S242">M112</f>
        <v>2694000</v>
      </c>
      <c r="N242" s="483">
        <f t="shared" si="28"/>
        <v>2560583</v>
      </c>
      <c r="O242" s="483">
        <f t="shared" si="28"/>
        <v>8600000</v>
      </c>
      <c r="P242" s="483">
        <f t="shared" si="28"/>
        <v>5200000</v>
      </c>
      <c r="Q242" s="483">
        <f t="shared" si="28"/>
        <v>0</v>
      </c>
      <c r="R242" s="483">
        <f t="shared" si="28"/>
        <v>0</v>
      </c>
      <c r="S242" s="483">
        <f t="shared" si="28"/>
        <v>0</v>
      </c>
    </row>
    <row r="243" spans="12:19" ht="15" customHeight="1">
      <c r="L243" s="483">
        <f>L116</f>
        <v>250000</v>
      </c>
      <c r="M243" s="483">
        <f aca="true" t="shared" si="29" ref="M243:S243">M116</f>
        <v>250000</v>
      </c>
      <c r="N243" s="483">
        <f t="shared" si="29"/>
        <v>0</v>
      </c>
      <c r="O243" s="483">
        <f t="shared" si="29"/>
        <v>0</v>
      </c>
      <c r="P243" s="483">
        <f t="shared" si="29"/>
        <v>0</v>
      </c>
      <c r="Q243" s="483">
        <f t="shared" si="29"/>
        <v>0</v>
      </c>
      <c r="R243" s="483">
        <f t="shared" si="29"/>
        <v>0</v>
      </c>
      <c r="S243" s="483">
        <f t="shared" si="29"/>
        <v>0</v>
      </c>
    </row>
    <row r="244" spans="12:19" ht="15" customHeight="1">
      <c r="L244" s="483">
        <f>L120</f>
        <v>2000000</v>
      </c>
      <c r="M244" s="483">
        <f aca="true" t="shared" si="30" ref="M244:S244">M120</f>
        <v>2000000</v>
      </c>
      <c r="N244" s="483">
        <f t="shared" si="30"/>
        <v>0</v>
      </c>
      <c r="O244" s="483">
        <f t="shared" si="30"/>
        <v>0</v>
      </c>
      <c r="P244" s="483">
        <f t="shared" si="30"/>
        <v>0</v>
      </c>
      <c r="Q244" s="483">
        <f t="shared" si="30"/>
        <v>0</v>
      </c>
      <c r="R244" s="483">
        <f t="shared" si="30"/>
        <v>0</v>
      </c>
      <c r="S244" s="483">
        <f t="shared" si="30"/>
        <v>0</v>
      </c>
    </row>
    <row r="245" spans="12:19" ht="15" customHeight="1">
      <c r="L245" s="483">
        <f>L136</f>
        <v>13120000</v>
      </c>
      <c r="M245" s="483">
        <f aca="true" t="shared" si="31" ref="M245:S245">M136</f>
        <v>13200000</v>
      </c>
      <c r="N245" s="483">
        <f t="shared" si="31"/>
        <v>10900000</v>
      </c>
      <c r="O245" s="483">
        <f t="shared" si="31"/>
        <v>12000000</v>
      </c>
      <c r="P245" s="483">
        <f t="shared" si="31"/>
        <v>0</v>
      </c>
      <c r="Q245" s="483">
        <f t="shared" si="31"/>
        <v>0</v>
      </c>
      <c r="R245" s="483">
        <f t="shared" si="31"/>
        <v>0</v>
      </c>
      <c r="S245" s="483">
        <f t="shared" si="31"/>
        <v>0</v>
      </c>
    </row>
    <row r="246" spans="12:19" ht="15" customHeight="1">
      <c r="L246" s="483">
        <f>L176</f>
        <v>54348123</v>
      </c>
      <c r="M246" s="483">
        <f aca="true" t="shared" si="32" ref="M246:S246">M176</f>
        <v>36998426</v>
      </c>
      <c r="N246" s="483">
        <f t="shared" si="32"/>
        <v>26681086</v>
      </c>
      <c r="O246" s="483">
        <f t="shared" si="32"/>
        <v>6530000</v>
      </c>
      <c r="P246" s="483">
        <f t="shared" si="32"/>
        <v>1350000</v>
      </c>
      <c r="Q246" s="483">
        <f t="shared" si="32"/>
        <v>0</v>
      </c>
      <c r="R246" s="483">
        <f t="shared" si="32"/>
        <v>0</v>
      </c>
      <c r="S246" s="483">
        <f t="shared" si="32"/>
        <v>0</v>
      </c>
    </row>
    <row r="247" spans="12:19" ht="15" customHeight="1">
      <c r="L247" s="483">
        <f>L212</f>
        <v>17472400</v>
      </c>
      <c r="M247" s="483">
        <f aca="true" t="shared" si="33" ref="M247:S247">M212</f>
        <v>10890000</v>
      </c>
      <c r="N247" s="483">
        <f t="shared" si="33"/>
        <v>5100000</v>
      </c>
      <c r="O247" s="483">
        <f t="shared" si="33"/>
        <v>6827000</v>
      </c>
      <c r="P247" s="483">
        <f t="shared" si="33"/>
        <v>6767000</v>
      </c>
      <c r="Q247" s="483">
        <f t="shared" si="33"/>
        <v>0</v>
      </c>
      <c r="R247" s="483">
        <f t="shared" si="33"/>
        <v>0</v>
      </c>
      <c r="S247" s="483">
        <f t="shared" si="33"/>
        <v>0</v>
      </c>
    </row>
    <row r="248" spans="12:19" ht="15" customHeight="1">
      <c r="L248" s="483">
        <f>L230</f>
        <v>51285600</v>
      </c>
      <c r="M248" s="483">
        <f aca="true" t="shared" si="34" ref="M248:S248">M230</f>
        <v>23198308</v>
      </c>
      <c r="N248" s="483">
        <f t="shared" si="34"/>
        <v>4000000</v>
      </c>
      <c r="O248" s="483">
        <f t="shared" si="34"/>
        <v>5000000</v>
      </c>
      <c r="P248" s="483">
        <f t="shared" si="34"/>
        <v>0</v>
      </c>
      <c r="Q248" s="483">
        <f t="shared" si="34"/>
        <v>0</v>
      </c>
      <c r="R248" s="483">
        <f t="shared" si="34"/>
        <v>0</v>
      </c>
      <c r="S248" s="483">
        <f t="shared" si="34"/>
        <v>0</v>
      </c>
    </row>
    <row r="249" spans="12:19" ht="15" customHeight="1">
      <c r="L249" s="483">
        <f>SUM(L238:L248)</f>
        <v>495122558</v>
      </c>
      <c r="M249" s="483">
        <f aca="true" t="shared" si="35" ref="M249:S249">SUM(M238:M248)</f>
        <v>302922134</v>
      </c>
      <c r="N249" s="483">
        <f t="shared" si="35"/>
        <v>144553069</v>
      </c>
      <c r="O249" s="483">
        <f t="shared" si="35"/>
        <v>261393800</v>
      </c>
      <c r="P249" s="483">
        <f t="shared" si="35"/>
        <v>133150300</v>
      </c>
      <c r="Q249" s="483">
        <f t="shared" si="35"/>
        <v>138600000</v>
      </c>
      <c r="R249" s="483">
        <f t="shared" si="35"/>
        <v>77500000</v>
      </c>
      <c r="S249" s="483">
        <f t="shared" si="35"/>
        <v>64176800</v>
      </c>
    </row>
    <row r="250" spans="12:19" ht="15" customHeight="1">
      <c r="L250" s="483" t="b">
        <f>L249=L235</f>
        <v>1</v>
      </c>
      <c r="M250" s="483" t="b">
        <f aca="true" t="shared" si="36" ref="M250:S250">M249=M235</f>
        <v>1</v>
      </c>
      <c r="N250" s="483" t="b">
        <f t="shared" si="36"/>
        <v>1</v>
      </c>
      <c r="O250" s="483" t="b">
        <f t="shared" si="36"/>
        <v>1</v>
      </c>
      <c r="P250" s="483" t="b">
        <f t="shared" si="36"/>
        <v>1</v>
      </c>
      <c r="Q250" s="483" t="b">
        <f t="shared" si="36"/>
        <v>1</v>
      </c>
      <c r="R250" s="483" t="b">
        <f t="shared" si="36"/>
        <v>1</v>
      </c>
      <c r="S250" s="483" t="b">
        <f t="shared" si="36"/>
        <v>1</v>
      </c>
    </row>
    <row r="251" spans="12:19" ht="15" customHeight="1">
      <c r="L251" s="483" t="b">
        <f>L249=L233</f>
        <v>1</v>
      </c>
      <c r="M251" s="483" t="b">
        <f aca="true" t="shared" si="37" ref="M251:S251">M249=M233</f>
        <v>1</v>
      </c>
      <c r="N251" s="483" t="b">
        <f t="shared" si="37"/>
        <v>1</v>
      </c>
      <c r="O251" s="483" t="b">
        <f t="shared" si="37"/>
        <v>1</v>
      </c>
      <c r="P251" s="483" t="b">
        <f t="shared" si="37"/>
        <v>1</v>
      </c>
      <c r="Q251" s="483" t="b">
        <f t="shared" si="37"/>
        <v>1</v>
      </c>
      <c r="R251" s="483" t="b">
        <f t="shared" si="37"/>
        <v>1</v>
      </c>
      <c r="S251" s="483" t="b">
        <f t="shared" si="37"/>
        <v>1</v>
      </c>
    </row>
    <row r="252" spans="12:19" ht="15" customHeight="1">
      <c r="L252" s="483"/>
      <c r="M252" s="483"/>
      <c r="N252" s="483"/>
      <c r="O252" s="483"/>
      <c r="P252" s="483"/>
      <c r="Q252" s="483"/>
      <c r="R252" s="483"/>
      <c r="S252" s="483"/>
    </row>
    <row r="253" spans="12:19" ht="15" customHeight="1">
      <c r="L253" s="483"/>
      <c r="M253" s="483"/>
      <c r="N253" s="483"/>
      <c r="O253" s="483"/>
      <c r="P253" s="483"/>
      <c r="Q253" s="483"/>
      <c r="R253" s="483"/>
      <c r="S253" s="483"/>
    </row>
    <row r="254" spans="12:19" ht="15" customHeight="1">
      <c r="L254" s="483"/>
      <c r="M254" s="483"/>
      <c r="N254" s="483"/>
      <c r="O254" s="483"/>
      <c r="P254" s="483"/>
      <c r="Q254" s="483"/>
      <c r="R254" s="483"/>
      <c r="S254" s="483"/>
    </row>
    <row r="255" spans="12:19" ht="15" customHeight="1">
      <c r="L255" s="483"/>
      <c r="M255" s="483"/>
      <c r="N255" s="483"/>
      <c r="O255" s="483"/>
      <c r="P255" s="483"/>
      <c r="Q255" s="483"/>
      <c r="R255" s="483"/>
      <c r="S255" s="483"/>
    </row>
    <row r="256" spans="12:19" ht="15" customHeight="1">
      <c r="L256" s="483"/>
      <c r="M256" s="483"/>
      <c r="N256" s="483"/>
      <c r="O256" s="483"/>
      <c r="P256" s="483"/>
      <c r="Q256" s="483"/>
      <c r="R256" s="483"/>
      <c r="S256" s="483"/>
    </row>
    <row r="257" spans="12:19" ht="15" customHeight="1">
      <c r="L257" s="483"/>
      <c r="M257" s="483"/>
      <c r="N257" s="483"/>
      <c r="O257" s="483"/>
      <c r="P257" s="483"/>
      <c r="Q257" s="483"/>
      <c r="R257" s="483"/>
      <c r="S257" s="483"/>
    </row>
    <row r="258" spans="12:19" ht="15" customHeight="1">
      <c r="L258" s="483"/>
      <c r="M258" s="483"/>
      <c r="N258" s="483"/>
      <c r="O258" s="483"/>
      <c r="P258" s="483"/>
      <c r="Q258" s="483"/>
      <c r="R258" s="483"/>
      <c r="S258" s="483"/>
    </row>
    <row r="259" spans="12:19" ht="15" customHeight="1">
      <c r="L259" s="483"/>
      <c r="M259" s="483"/>
      <c r="N259" s="483"/>
      <c r="O259" s="483"/>
      <c r="P259" s="483"/>
      <c r="Q259" s="483"/>
      <c r="R259" s="483"/>
      <c r="S259" s="483"/>
    </row>
    <row r="260" spans="12:19" ht="15" customHeight="1">
      <c r="L260" s="483"/>
      <c r="M260" s="483"/>
      <c r="N260" s="483"/>
      <c r="O260" s="483"/>
      <c r="P260" s="483"/>
      <c r="Q260" s="483"/>
      <c r="R260" s="483"/>
      <c r="S260" s="483"/>
    </row>
    <row r="261" spans="12:19" ht="15" customHeight="1">
      <c r="L261" s="483"/>
      <c r="M261" s="483"/>
      <c r="N261" s="483"/>
      <c r="O261" s="483"/>
      <c r="P261" s="483"/>
      <c r="Q261" s="483"/>
      <c r="R261" s="483"/>
      <c r="S261" s="483"/>
    </row>
    <row r="262" spans="12:19" ht="15" customHeight="1">
      <c r="L262" s="483"/>
      <c r="M262" s="483"/>
      <c r="N262" s="483"/>
      <c r="O262" s="483"/>
      <c r="P262" s="483"/>
      <c r="Q262" s="483"/>
      <c r="R262" s="483"/>
      <c r="S262" s="483"/>
    </row>
    <row r="263" spans="12:19" ht="15" customHeight="1">
      <c r="L263" s="483"/>
      <c r="M263" s="483"/>
      <c r="N263" s="483"/>
      <c r="O263" s="483"/>
      <c r="P263" s="483"/>
      <c r="Q263" s="483"/>
      <c r="R263" s="483"/>
      <c r="S263" s="483"/>
    </row>
    <row r="264" spans="12:19" ht="15" customHeight="1">
      <c r="L264" s="483"/>
      <c r="M264" s="483"/>
      <c r="N264" s="483"/>
      <c r="O264" s="483"/>
      <c r="P264" s="483"/>
      <c r="Q264" s="483"/>
      <c r="R264" s="483"/>
      <c r="S264" s="483"/>
    </row>
    <row r="265" spans="12:19" ht="15" customHeight="1">
      <c r="L265" s="483"/>
      <c r="M265" s="483"/>
      <c r="N265" s="483"/>
      <c r="O265" s="483"/>
      <c r="P265" s="483"/>
      <c r="Q265" s="483"/>
      <c r="R265" s="483"/>
      <c r="S265" s="483"/>
    </row>
    <row r="266" spans="12:19" ht="15" customHeight="1">
      <c r="L266" s="483"/>
      <c r="M266" s="483"/>
      <c r="N266" s="483"/>
      <c r="O266" s="483"/>
      <c r="P266" s="483"/>
      <c r="Q266" s="483"/>
      <c r="R266" s="483"/>
      <c r="S266" s="483"/>
    </row>
    <row r="267" spans="12:19" ht="15" customHeight="1">
      <c r="L267" s="483"/>
      <c r="M267" s="483"/>
      <c r="N267" s="483"/>
      <c r="O267" s="483"/>
      <c r="P267" s="483"/>
      <c r="Q267" s="483"/>
      <c r="R267" s="483"/>
      <c r="S267" s="483"/>
    </row>
    <row r="268" spans="12:19" ht="15" customHeight="1">
      <c r="L268" s="483"/>
      <c r="M268" s="483"/>
      <c r="N268" s="483"/>
      <c r="O268" s="483"/>
      <c r="P268" s="483"/>
      <c r="Q268" s="483"/>
      <c r="R268" s="483"/>
      <c r="S268" s="483"/>
    </row>
    <row r="269" spans="12:19" ht="15" customHeight="1">
      <c r="L269" s="483"/>
      <c r="M269" s="483"/>
      <c r="N269" s="483"/>
      <c r="O269" s="483"/>
      <c r="P269" s="483"/>
      <c r="Q269" s="483"/>
      <c r="R269" s="483"/>
      <c r="S269" s="483"/>
    </row>
    <row r="270" spans="12:19" ht="15" customHeight="1">
      <c r="L270" s="483"/>
      <c r="M270" s="483"/>
      <c r="N270" s="483"/>
      <c r="O270" s="483"/>
      <c r="P270" s="483"/>
      <c r="Q270" s="483"/>
      <c r="R270" s="483"/>
      <c r="S270" s="483"/>
    </row>
    <row r="271" spans="12:19" ht="15" customHeight="1">
      <c r="L271" s="483"/>
      <c r="M271" s="483"/>
      <c r="N271" s="483"/>
      <c r="O271" s="483"/>
      <c r="P271" s="483"/>
      <c r="Q271" s="483"/>
      <c r="R271" s="483"/>
      <c r="S271" s="483"/>
    </row>
    <row r="272" spans="12:19" ht="15" customHeight="1">
      <c r="L272" s="483"/>
      <c r="M272" s="483"/>
      <c r="N272" s="483"/>
      <c r="O272" s="483"/>
      <c r="P272" s="483"/>
      <c r="Q272" s="483"/>
      <c r="R272" s="483"/>
      <c r="S272" s="483"/>
    </row>
    <row r="273" spans="12:19" ht="15" customHeight="1">
      <c r="L273" s="483"/>
      <c r="M273" s="483"/>
      <c r="N273" s="483"/>
      <c r="O273" s="483"/>
      <c r="P273" s="483"/>
      <c r="Q273" s="483"/>
      <c r="R273" s="483"/>
      <c r="S273" s="483"/>
    </row>
    <row r="274" spans="12:19" ht="15" customHeight="1">
      <c r="L274" s="483"/>
      <c r="M274" s="483"/>
      <c r="N274" s="483"/>
      <c r="O274" s="483"/>
      <c r="P274" s="483"/>
      <c r="Q274" s="483"/>
      <c r="R274" s="483"/>
      <c r="S274" s="483"/>
    </row>
    <row r="275" spans="12:19" ht="15" customHeight="1">
      <c r="L275" s="483"/>
      <c r="M275" s="483"/>
      <c r="N275" s="483"/>
      <c r="O275" s="483"/>
      <c r="P275" s="483"/>
      <c r="Q275" s="483"/>
      <c r="R275" s="483"/>
      <c r="S275" s="483"/>
    </row>
    <row r="276" spans="12:19" ht="15" customHeight="1">
      <c r="L276" s="483"/>
      <c r="M276" s="483"/>
      <c r="N276" s="483"/>
      <c r="O276" s="483"/>
      <c r="P276" s="483"/>
      <c r="Q276" s="483"/>
      <c r="R276" s="483"/>
      <c r="S276" s="483"/>
    </row>
    <row r="277" spans="12:19" ht="15" customHeight="1">
      <c r="L277" s="483"/>
      <c r="M277" s="483"/>
      <c r="N277" s="483"/>
      <c r="O277" s="483"/>
      <c r="P277" s="483"/>
      <c r="Q277" s="483"/>
      <c r="R277" s="483"/>
      <c r="S277" s="483"/>
    </row>
    <row r="278" spans="12:19" ht="15" customHeight="1">
      <c r="L278" s="483"/>
      <c r="M278" s="483"/>
      <c r="N278" s="483"/>
      <c r="O278" s="483"/>
      <c r="P278" s="483"/>
      <c r="Q278" s="483"/>
      <c r="R278" s="483"/>
      <c r="S278" s="483"/>
    </row>
    <row r="279" spans="12:19" ht="15" customHeight="1">
      <c r="L279" s="483"/>
      <c r="M279" s="483"/>
      <c r="N279" s="483"/>
      <c r="O279" s="483"/>
      <c r="P279" s="483"/>
      <c r="Q279" s="483"/>
      <c r="R279" s="483"/>
      <c r="S279" s="483"/>
    </row>
    <row r="280" spans="12:19" ht="15" customHeight="1">
      <c r="L280" s="483"/>
      <c r="M280" s="483"/>
      <c r="N280" s="483"/>
      <c r="O280" s="483"/>
      <c r="P280" s="483"/>
      <c r="Q280" s="483"/>
      <c r="R280" s="483"/>
      <c r="S280" s="483"/>
    </row>
    <row r="281" spans="12:19" ht="15" customHeight="1">
      <c r="L281" s="483"/>
      <c r="M281" s="483"/>
      <c r="N281" s="483"/>
      <c r="O281" s="483"/>
      <c r="P281" s="483"/>
      <c r="Q281" s="483"/>
      <c r="R281" s="483"/>
      <c r="S281" s="483"/>
    </row>
    <row r="282" spans="12:19" ht="15" customHeight="1">
      <c r="L282" s="483"/>
      <c r="M282" s="483"/>
      <c r="N282" s="483"/>
      <c r="O282" s="483"/>
      <c r="P282" s="483"/>
      <c r="Q282" s="483"/>
      <c r="R282" s="483"/>
      <c r="S282" s="483"/>
    </row>
    <row r="283" spans="12:19" ht="15" customHeight="1">
      <c r="L283" s="483"/>
      <c r="M283" s="483"/>
      <c r="N283" s="483"/>
      <c r="O283" s="483"/>
      <c r="P283" s="483"/>
      <c r="Q283" s="483"/>
      <c r="R283" s="483"/>
      <c r="S283" s="483"/>
    </row>
    <row r="284" spans="12:19" ht="15" customHeight="1">
      <c r="L284" s="483"/>
      <c r="M284" s="483"/>
      <c r="N284" s="483"/>
      <c r="O284" s="483"/>
      <c r="P284" s="483"/>
      <c r="Q284" s="483"/>
      <c r="R284" s="483"/>
      <c r="S284" s="483"/>
    </row>
    <row r="285" spans="12:19" ht="15" customHeight="1">
      <c r="L285" s="483"/>
      <c r="M285" s="483"/>
      <c r="N285" s="483"/>
      <c r="O285" s="483"/>
      <c r="P285" s="483"/>
      <c r="Q285" s="483"/>
      <c r="R285" s="483"/>
      <c r="S285" s="483"/>
    </row>
    <row r="286" spans="12:19" ht="15" customHeight="1">
      <c r="L286" s="483"/>
      <c r="M286" s="483"/>
      <c r="N286" s="483"/>
      <c r="O286" s="483"/>
      <c r="P286" s="483"/>
      <c r="Q286" s="483"/>
      <c r="R286" s="483"/>
      <c r="S286" s="483"/>
    </row>
    <row r="287" spans="12:19" ht="15" customHeight="1">
      <c r="L287" s="483"/>
      <c r="M287" s="483"/>
      <c r="N287" s="483"/>
      <c r="O287" s="483"/>
      <c r="P287" s="483"/>
      <c r="Q287" s="483"/>
      <c r="R287" s="483"/>
      <c r="S287" s="483"/>
    </row>
    <row r="288" spans="12:19" ht="15" customHeight="1">
      <c r="L288" s="483"/>
      <c r="M288" s="483"/>
      <c r="N288" s="483"/>
      <c r="O288" s="483"/>
      <c r="P288" s="483"/>
      <c r="Q288" s="483"/>
      <c r="R288" s="483"/>
      <c r="S288" s="483"/>
    </row>
    <row r="289" spans="12:19" ht="15" customHeight="1">
      <c r="L289" s="483"/>
      <c r="M289" s="483"/>
      <c r="N289" s="483"/>
      <c r="O289" s="483"/>
      <c r="P289" s="483"/>
      <c r="Q289" s="483"/>
      <c r="R289" s="483"/>
      <c r="S289" s="483"/>
    </row>
    <row r="290" spans="12:19" ht="15" customHeight="1">
      <c r="L290" s="483"/>
      <c r="M290" s="483"/>
      <c r="N290" s="483"/>
      <c r="O290" s="483"/>
      <c r="P290" s="483"/>
      <c r="Q290" s="483"/>
      <c r="R290" s="483"/>
      <c r="S290" s="483"/>
    </row>
    <row r="291" spans="12:19" ht="15" customHeight="1">
      <c r="L291" s="483"/>
      <c r="M291" s="483"/>
      <c r="N291" s="483"/>
      <c r="O291" s="483"/>
      <c r="P291" s="483"/>
      <c r="Q291" s="483"/>
      <c r="R291" s="483"/>
      <c r="S291" s="483"/>
    </row>
    <row r="292" spans="12:19" ht="15" customHeight="1">
      <c r="L292" s="483"/>
      <c r="M292" s="483"/>
      <c r="N292" s="483"/>
      <c r="O292" s="483"/>
      <c r="P292" s="483"/>
      <c r="Q292" s="483"/>
      <c r="R292" s="483"/>
      <c r="S292" s="483"/>
    </row>
    <row r="293" spans="12:19" ht="15" customHeight="1">
      <c r="L293" s="483"/>
      <c r="M293" s="483"/>
      <c r="N293" s="483"/>
      <c r="O293" s="483"/>
      <c r="P293" s="483"/>
      <c r="Q293" s="483"/>
      <c r="R293" s="483"/>
      <c r="S293" s="483"/>
    </row>
    <row r="294" spans="12:19" ht="15" customHeight="1">
      <c r="L294" s="483"/>
      <c r="M294" s="483"/>
      <c r="N294" s="483"/>
      <c r="O294" s="483"/>
      <c r="P294" s="483"/>
      <c r="Q294" s="483"/>
      <c r="R294" s="483"/>
      <c r="S294" s="483"/>
    </row>
    <row r="295" spans="12:19" ht="15" customHeight="1">
      <c r="L295" s="483"/>
      <c r="M295" s="483"/>
      <c r="N295" s="483"/>
      <c r="O295" s="483"/>
      <c r="P295" s="483"/>
      <c r="Q295" s="483"/>
      <c r="R295" s="483"/>
      <c r="S295" s="483"/>
    </row>
    <row r="296" spans="12:19" ht="15" customHeight="1">
      <c r="L296" s="483"/>
      <c r="M296" s="483"/>
      <c r="N296" s="483"/>
      <c r="O296" s="483"/>
      <c r="P296" s="483"/>
      <c r="Q296" s="483"/>
      <c r="R296" s="483"/>
      <c r="S296" s="483"/>
    </row>
    <row r="297" spans="12:19" ht="15" customHeight="1">
      <c r="L297" s="483"/>
      <c r="M297" s="483"/>
      <c r="N297" s="483"/>
      <c r="O297" s="483"/>
      <c r="P297" s="483"/>
      <c r="Q297" s="483"/>
      <c r="R297" s="483"/>
      <c r="S297" s="483"/>
    </row>
    <row r="298" spans="12:19" ht="15" customHeight="1">
      <c r="L298" s="483"/>
      <c r="M298" s="483"/>
      <c r="N298" s="483"/>
      <c r="O298" s="483"/>
      <c r="P298" s="483"/>
      <c r="Q298" s="483"/>
      <c r="R298" s="483"/>
      <c r="S298" s="483"/>
    </row>
    <row r="299" spans="12:19" ht="15" customHeight="1">
      <c r="L299" s="483"/>
      <c r="M299" s="483"/>
      <c r="N299" s="483"/>
      <c r="O299" s="483"/>
      <c r="P299" s="483"/>
      <c r="Q299" s="483"/>
      <c r="R299" s="483"/>
      <c r="S299" s="483"/>
    </row>
    <row r="300" spans="12:19" ht="15" customHeight="1">
      <c r="L300" s="483"/>
      <c r="M300" s="483"/>
      <c r="N300" s="483"/>
      <c r="O300" s="483"/>
      <c r="P300" s="483"/>
      <c r="Q300" s="483"/>
      <c r="R300" s="483"/>
      <c r="S300" s="483"/>
    </row>
    <row r="301" spans="12:19" ht="15" customHeight="1">
      <c r="L301" s="483"/>
      <c r="M301" s="483"/>
      <c r="N301" s="483"/>
      <c r="O301" s="483"/>
      <c r="P301" s="483"/>
      <c r="Q301" s="483"/>
      <c r="R301" s="483"/>
      <c r="S301" s="483"/>
    </row>
    <row r="302" spans="12:19" ht="15" customHeight="1">
      <c r="L302" s="483"/>
      <c r="M302" s="483"/>
      <c r="N302" s="483"/>
      <c r="O302" s="483"/>
      <c r="P302" s="483"/>
      <c r="Q302" s="483"/>
      <c r="R302" s="483"/>
      <c r="S302" s="483"/>
    </row>
    <row r="303" spans="12:19" ht="15" customHeight="1">
      <c r="L303" s="483"/>
      <c r="M303" s="483"/>
      <c r="N303" s="483"/>
      <c r="O303" s="483"/>
      <c r="P303" s="483"/>
      <c r="Q303" s="483"/>
      <c r="R303" s="483"/>
      <c r="S303" s="483"/>
    </row>
    <row r="304" spans="12:19" ht="15" customHeight="1">
      <c r="L304" s="483"/>
      <c r="M304" s="483"/>
      <c r="N304" s="483"/>
      <c r="O304" s="483"/>
      <c r="P304" s="483"/>
      <c r="Q304" s="483"/>
      <c r="R304" s="483"/>
      <c r="S304" s="483"/>
    </row>
    <row r="305" spans="12:19" ht="15" customHeight="1">
      <c r="L305" s="483"/>
      <c r="M305" s="483"/>
      <c r="N305" s="483"/>
      <c r="O305" s="483"/>
      <c r="P305" s="483"/>
      <c r="Q305" s="483"/>
      <c r="R305" s="483"/>
      <c r="S305" s="483"/>
    </row>
    <row r="306" spans="12:19" ht="15" customHeight="1">
      <c r="L306" s="483"/>
      <c r="M306" s="483"/>
      <c r="N306" s="483"/>
      <c r="O306" s="483"/>
      <c r="P306" s="483"/>
      <c r="Q306" s="483"/>
      <c r="R306" s="483"/>
      <c r="S306" s="483"/>
    </row>
    <row r="307" spans="12:19" ht="15" customHeight="1">
      <c r="L307" s="483"/>
      <c r="M307" s="483"/>
      <c r="N307" s="483"/>
      <c r="O307" s="483"/>
      <c r="P307" s="483"/>
      <c r="Q307" s="483"/>
      <c r="R307" s="483"/>
      <c r="S307" s="483"/>
    </row>
    <row r="308" spans="12:19" ht="15" customHeight="1">
      <c r="L308" s="483"/>
      <c r="M308" s="483"/>
      <c r="N308" s="483"/>
      <c r="O308" s="483"/>
      <c r="P308" s="483"/>
      <c r="Q308" s="483"/>
      <c r="R308" s="483"/>
      <c r="S308" s="483"/>
    </row>
    <row r="309" spans="12:19" ht="15" customHeight="1">
      <c r="L309" s="483"/>
      <c r="M309" s="483"/>
      <c r="N309" s="483"/>
      <c r="O309" s="483"/>
      <c r="P309" s="483"/>
      <c r="Q309" s="483"/>
      <c r="R309" s="483"/>
      <c r="S309" s="483"/>
    </row>
    <row r="310" spans="12:19" ht="15" customHeight="1">
      <c r="L310" s="483"/>
      <c r="M310" s="483"/>
      <c r="N310" s="483"/>
      <c r="O310" s="483"/>
      <c r="P310" s="483"/>
      <c r="Q310" s="483"/>
      <c r="R310" s="483"/>
      <c r="S310" s="483"/>
    </row>
    <row r="311" spans="12:19" ht="15" customHeight="1">
      <c r="L311" s="483"/>
      <c r="M311" s="483"/>
      <c r="N311" s="483"/>
      <c r="O311" s="483"/>
      <c r="P311" s="483"/>
      <c r="Q311" s="483"/>
      <c r="R311" s="483"/>
      <c r="S311" s="483"/>
    </row>
    <row r="312" spans="12:19" ht="15" customHeight="1">
      <c r="L312" s="483"/>
      <c r="M312" s="483"/>
      <c r="N312" s="483"/>
      <c r="O312" s="483"/>
      <c r="P312" s="483"/>
      <c r="Q312" s="483"/>
      <c r="R312" s="483"/>
      <c r="S312" s="483"/>
    </row>
    <row r="313" spans="12:19" ht="15" customHeight="1">
      <c r="L313" s="483"/>
      <c r="M313" s="483"/>
      <c r="N313" s="483"/>
      <c r="O313" s="483"/>
      <c r="P313" s="483"/>
      <c r="Q313" s="483"/>
      <c r="R313" s="483"/>
      <c r="S313" s="483"/>
    </row>
    <row r="314" spans="12:19" ht="15" customHeight="1">
      <c r="L314" s="483"/>
      <c r="M314" s="483"/>
      <c r="N314" s="483"/>
      <c r="O314" s="483"/>
      <c r="P314" s="483"/>
      <c r="Q314" s="483"/>
      <c r="R314" s="483"/>
      <c r="S314" s="483"/>
    </row>
    <row r="315" spans="12:19" ht="15" customHeight="1">
      <c r="L315" s="483"/>
      <c r="M315" s="483"/>
      <c r="N315" s="483"/>
      <c r="O315" s="483"/>
      <c r="P315" s="483"/>
      <c r="Q315" s="483"/>
      <c r="R315" s="483"/>
      <c r="S315" s="483"/>
    </row>
    <row r="316" spans="12:19" ht="15" customHeight="1">
      <c r="L316" s="483"/>
      <c r="M316" s="483"/>
      <c r="N316" s="483"/>
      <c r="O316" s="483"/>
      <c r="P316" s="483"/>
      <c r="Q316" s="483"/>
      <c r="R316" s="483"/>
      <c r="S316" s="483"/>
    </row>
    <row r="317" spans="12:19" ht="15" customHeight="1">
      <c r="L317" s="483"/>
      <c r="M317" s="483"/>
      <c r="N317" s="483"/>
      <c r="O317" s="483"/>
      <c r="P317" s="483"/>
      <c r="Q317" s="483"/>
      <c r="R317" s="483"/>
      <c r="S317" s="483"/>
    </row>
    <row r="318" spans="12:19" ht="15" customHeight="1">
      <c r="L318" s="483"/>
      <c r="M318" s="483"/>
      <c r="N318" s="483"/>
      <c r="O318" s="483"/>
      <c r="P318" s="483"/>
      <c r="Q318" s="483"/>
      <c r="R318" s="483"/>
      <c r="S318" s="483"/>
    </row>
    <row r="319" spans="12:19" ht="15" customHeight="1">
      <c r="L319" s="483"/>
      <c r="M319" s="483"/>
      <c r="N319" s="483"/>
      <c r="O319" s="483"/>
      <c r="P319" s="483"/>
      <c r="Q319" s="483"/>
      <c r="R319" s="483"/>
      <c r="S319" s="483"/>
    </row>
    <row r="320" spans="12:19" ht="15" customHeight="1">
      <c r="L320" s="483"/>
      <c r="M320" s="483"/>
      <c r="N320" s="483"/>
      <c r="O320" s="483"/>
      <c r="P320" s="483"/>
      <c r="Q320" s="483"/>
      <c r="R320" s="483"/>
      <c r="S320" s="483"/>
    </row>
    <row r="321" spans="12:19" ht="15" customHeight="1">
      <c r="L321" s="483"/>
      <c r="M321" s="483"/>
      <c r="N321" s="483"/>
      <c r="O321" s="483"/>
      <c r="P321" s="483"/>
      <c r="Q321" s="483"/>
      <c r="R321" s="483"/>
      <c r="S321" s="483"/>
    </row>
    <row r="322" spans="12:19" ht="15" customHeight="1">
      <c r="L322" s="483"/>
      <c r="M322" s="483"/>
      <c r="N322" s="483"/>
      <c r="O322" s="483"/>
      <c r="P322" s="483"/>
      <c r="Q322" s="483"/>
      <c r="R322" s="483"/>
      <c r="S322" s="483"/>
    </row>
    <row r="323" spans="12:19" ht="15" customHeight="1">
      <c r="L323" s="483"/>
      <c r="M323" s="483"/>
      <c r="N323" s="483"/>
      <c r="O323" s="483"/>
      <c r="P323" s="483"/>
      <c r="Q323" s="483"/>
      <c r="R323" s="483"/>
      <c r="S323" s="483"/>
    </row>
    <row r="324" spans="12:19" ht="15" customHeight="1">
      <c r="L324" s="483"/>
      <c r="M324" s="483"/>
      <c r="N324" s="483"/>
      <c r="O324" s="483"/>
      <c r="P324" s="483"/>
      <c r="Q324" s="483"/>
      <c r="R324" s="483"/>
      <c r="S324" s="483"/>
    </row>
    <row r="325" spans="12:19" ht="15" customHeight="1">
      <c r="L325" s="483"/>
      <c r="M325" s="483"/>
      <c r="N325" s="483"/>
      <c r="O325" s="483"/>
      <c r="P325" s="483"/>
      <c r="Q325" s="483"/>
      <c r="R325" s="483"/>
      <c r="S325" s="483"/>
    </row>
    <row r="326" spans="12:19" ht="15" customHeight="1">
      <c r="L326" s="483"/>
      <c r="M326" s="483"/>
      <c r="N326" s="483"/>
      <c r="O326" s="483"/>
      <c r="P326" s="483"/>
      <c r="Q326" s="483"/>
      <c r="R326" s="483"/>
      <c r="S326" s="483"/>
    </row>
    <row r="327" spans="12:19" ht="15" customHeight="1">
      <c r="L327" s="483"/>
      <c r="M327" s="483"/>
      <c r="N327" s="483"/>
      <c r="O327" s="483"/>
      <c r="P327" s="483"/>
      <c r="Q327" s="483"/>
      <c r="R327" s="483"/>
      <c r="S327" s="483"/>
    </row>
  </sheetData>
  <mergeCells count="334">
    <mergeCell ref="A100:A101"/>
    <mergeCell ref="C117:G117"/>
    <mergeCell ref="T124:T125"/>
    <mergeCell ref="D125:G125"/>
    <mergeCell ref="T122:T123"/>
    <mergeCell ref="D123:G123"/>
    <mergeCell ref="T118:T119"/>
    <mergeCell ref="D119:G119"/>
    <mergeCell ref="A114:A115"/>
    <mergeCell ref="A118:A119"/>
    <mergeCell ref="C86:I88"/>
    <mergeCell ref="J86:J88"/>
    <mergeCell ref="T128:T129"/>
    <mergeCell ref="D129:G129"/>
    <mergeCell ref="C110:I112"/>
    <mergeCell ref="T104:T105"/>
    <mergeCell ref="D105:G105"/>
    <mergeCell ref="J110:J112"/>
    <mergeCell ref="T110:T112"/>
    <mergeCell ref="T78:T79"/>
    <mergeCell ref="D79:G79"/>
    <mergeCell ref="A84:A85"/>
    <mergeCell ref="T84:T85"/>
    <mergeCell ref="A190:A191"/>
    <mergeCell ref="T190:T191"/>
    <mergeCell ref="D191:G191"/>
    <mergeCell ref="A80:A81"/>
    <mergeCell ref="T80:T81"/>
    <mergeCell ref="D81:G81"/>
    <mergeCell ref="A82:A83"/>
    <mergeCell ref="T82:T83"/>
    <mergeCell ref="D83:G83"/>
    <mergeCell ref="A92:A93"/>
    <mergeCell ref="A186:A187"/>
    <mergeCell ref="T186:T187"/>
    <mergeCell ref="D187:G187"/>
    <mergeCell ref="A188:A189"/>
    <mergeCell ref="T188:T189"/>
    <mergeCell ref="D189:G189"/>
    <mergeCell ref="T180:T181"/>
    <mergeCell ref="A182:A183"/>
    <mergeCell ref="T182:T183"/>
    <mergeCell ref="D183:G183"/>
    <mergeCell ref="A12:A13"/>
    <mergeCell ref="T12:T13"/>
    <mergeCell ref="D13:G13"/>
    <mergeCell ref="A164:A165"/>
    <mergeCell ref="T164:T165"/>
    <mergeCell ref="D165:G165"/>
    <mergeCell ref="D127:G127"/>
    <mergeCell ref="A130:A131"/>
    <mergeCell ref="A14:A15"/>
    <mergeCell ref="T14:T15"/>
    <mergeCell ref="A8:A9"/>
    <mergeCell ref="T8:T9"/>
    <mergeCell ref="D9:G9"/>
    <mergeCell ref="A10:A11"/>
    <mergeCell ref="T10:T11"/>
    <mergeCell ref="D11:G11"/>
    <mergeCell ref="A24:A25"/>
    <mergeCell ref="A162:A163"/>
    <mergeCell ref="T162:T163"/>
    <mergeCell ref="D163:G163"/>
    <mergeCell ref="A126:A127"/>
    <mergeCell ref="T126:T127"/>
    <mergeCell ref="A76:A77"/>
    <mergeCell ref="T76:T77"/>
    <mergeCell ref="D91:G91"/>
    <mergeCell ref="A78:A79"/>
    <mergeCell ref="A20:A21"/>
    <mergeCell ref="T20:T21"/>
    <mergeCell ref="D21:G21"/>
    <mergeCell ref="A168:A169"/>
    <mergeCell ref="T168:T169"/>
    <mergeCell ref="D169:G169"/>
    <mergeCell ref="A22:A23"/>
    <mergeCell ref="T22:T23"/>
    <mergeCell ref="D23:G23"/>
    <mergeCell ref="A166:A167"/>
    <mergeCell ref="A16:A17"/>
    <mergeCell ref="T16:T17"/>
    <mergeCell ref="D17:G17"/>
    <mergeCell ref="D199:G199"/>
    <mergeCell ref="A18:A19"/>
    <mergeCell ref="T18:T19"/>
    <mergeCell ref="D19:G19"/>
    <mergeCell ref="A30:A31"/>
    <mergeCell ref="T30:T31"/>
    <mergeCell ref="D31:G31"/>
    <mergeCell ref="A26:A27"/>
    <mergeCell ref="T26:T27"/>
    <mergeCell ref="D27:G27"/>
    <mergeCell ref="T194:T195"/>
    <mergeCell ref="D195:G195"/>
    <mergeCell ref="D35:G35"/>
    <mergeCell ref="A28:A29"/>
    <mergeCell ref="T28:T29"/>
    <mergeCell ref="D29:G29"/>
    <mergeCell ref="A192:A193"/>
    <mergeCell ref="A74:A75"/>
    <mergeCell ref="T74:T75"/>
    <mergeCell ref="T34:T35"/>
    <mergeCell ref="A196:A197"/>
    <mergeCell ref="T196:T197"/>
    <mergeCell ref="D197:G197"/>
    <mergeCell ref="A194:A195"/>
    <mergeCell ref="T192:T193"/>
    <mergeCell ref="D193:G193"/>
    <mergeCell ref="T166:T167"/>
    <mergeCell ref="A32:A33"/>
    <mergeCell ref="T32:T33"/>
    <mergeCell ref="D33:G33"/>
    <mergeCell ref="A34:A35"/>
    <mergeCell ref="A36:A37"/>
    <mergeCell ref="T36:T37"/>
    <mergeCell ref="D37:G37"/>
    <mergeCell ref="A38:A39"/>
    <mergeCell ref="T38:T39"/>
    <mergeCell ref="D39:G39"/>
    <mergeCell ref="D167:G167"/>
    <mergeCell ref="C121:G121"/>
    <mergeCell ref="A122:A123"/>
    <mergeCell ref="A128:A129"/>
    <mergeCell ref="A152:A153"/>
    <mergeCell ref="A142:A143"/>
    <mergeCell ref="D131:G131"/>
    <mergeCell ref="A124:A125"/>
    <mergeCell ref="A144:A145"/>
    <mergeCell ref="A138:A139"/>
    <mergeCell ref="A214:A215"/>
    <mergeCell ref="T214:T215"/>
    <mergeCell ref="D215:G215"/>
    <mergeCell ref="C120:I120"/>
    <mergeCell ref="A178:A179"/>
    <mergeCell ref="T130:T131"/>
    <mergeCell ref="A184:A185"/>
    <mergeCell ref="T184:T185"/>
    <mergeCell ref="D185:G185"/>
    <mergeCell ref="A180:A181"/>
    <mergeCell ref="A140:A141"/>
    <mergeCell ref="A132:A133"/>
    <mergeCell ref="A134:A135"/>
    <mergeCell ref="T144:T145"/>
    <mergeCell ref="D145:G145"/>
    <mergeCell ref="A148:A149"/>
    <mergeCell ref="T148:T149"/>
    <mergeCell ref="D149:G149"/>
    <mergeCell ref="A146:A147"/>
    <mergeCell ref="D7:G7"/>
    <mergeCell ref="T6:T7"/>
    <mergeCell ref="T86:T88"/>
    <mergeCell ref="C137:G137"/>
    <mergeCell ref="D75:G75"/>
    <mergeCell ref="C113:G113"/>
    <mergeCell ref="C116:I116"/>
    <mergeCell ref="C98:I98"/>
    <mergeCell ref="C72:I72"/>
    <mergeCell ref="C136:I136"/>
    <mergeCell ref="A216:A217"/>
    <mergeCell ref="T216:T217"/>
    <mergeCell ref="D217:G217"/>
    <mergeCell ref="A154:A155"/>
    <mergeCell ref="T154:T155"/>
    <mergeCell ref="D179:G179"/>
    <mergeCell ref="A200:A201"/>
    <mergeCell ref="A160:A161"/>
    <mergeCell ref="T160:T161"/>
    <mergeCell ref="D161:G161"/>
    <mergeCell ref="A220:A221"/>
    <mergeCell ref="T220:T221"/>
    <mergeCell ref="D221:G221"/>
    <mergeCell ref="A218:A219"/>
    <mergeCell ref="T218:T219"/>
    <mergeCell ref="D219:G219"/>
    <mergeCell ref="A104:A105"/>
    <mergeCell ref="A106:A107"/>
    <mergeCell ref="T106:T107"/>
    <mergeCell ref="D107:G107"/>
    <mergeCell ref="C231:I233"/>
    <mergeCell ref="J231:J233"/>
    <mergeCell ref="T231:T233"/>
    <mergeCell ref="C213:G213"/>
    <mergeCell ref="T224:T225"/>
    <mergeCell ref="C230:I230"/>
    <mergeCell ref="D223:G223"/>
    <mergeCell ref="A228:A229"/>
    <mergeCell ref="T228:T229"/>
    <mergeCell ref="D229:G229"/>
    <mergeCell ref="T174:T176"/>
    <mergeCell ref="T202:T203"/>
    <mergeCell ref="D203:G203"/>
    <mergeCell ref="C174:I176"/>
    <mergeCell ref="J174:J176"/>
    <mergeCell ref="T200:T201"/>
    <mergeCell ref="D201:G201"/>
    <mergeCell ref="A226:A227"/>
    <mergeCell ref="T226:T227"/>
    <mergeCell ref="D227:G227"/>
    <mergeCell ref="A224:A225"/>
    <mergeCell ref="D225:G225"/>
    <mergeCell ref="A172:A173"/>
    <mergeCell ref="T172:T173"/>
    <mergeCell ref="D173:G173"/>
    <mergeCell ref="A170:A171"/>
    <mergeCell ref="A222:A223"/>
    <mergeCell ref="T222:T223"/>
    <mergeCell ref="D157:G157"/>
    <mergeCell ref="A158:A159"/>
    <mergeCell ref="T158:T159"/>
    <mergeCell ref="D159:G159"/>
    <mergeCell ref="T170:T171"/>
    <mergeCell ref="D171:G171"/>
    <mergeCell ref="A204:A205"/>
    <mergeCell ref="T204:T205"/>
    <mergeCell ref="D205:G205"/>
    <mergeCell ref="A202:A203"/>
    <mergeCell ref="A198:A199"/>
    <mergeCell ref="T198:T199"/>
    <mergeCell ref="A102:A103"/>
    <mergeCell ref="D85:G85"/>
    <mergeCell ref="A96:A97"/>
    <mergeCell ref="T96:T97"/>
    <mergeCell ref="D97:G97"/>
    <mergeCell ref="T92:T93"/>
    <mergeCell ref="D93:G93"/>
    <mergeCell ref="C89:G89"/>
    <mergeCell ref="A90:A91"/>
    <mergeCell ref="T90:T91"/>
    <mergeCell ref="D15:G15"/>
    <mergeCell ref="A108:A109"/>
    <mergeCell ref="T108:T109"/>
    <mergeCell ref="D109:G109"/>
    <mergeCell ref="A40:A41"/>
    <mergeCell ref="T40:T41"/>
    <mergeCell ref="D41:G41"/>
    <mergeCell ref="A42:A43"/>
    <mergeCell ref="T42:T43"/>
    <mergeCell ref="D43:G43"/>
    <mergeCell ref="T24:T25"/>
    <mergeCell ref="D25:G25"/>
    <mergeCell ref="D77:G77"/>
    <mergeCell ref="T100:T101"/>
    <mergeCell ref="D101:G101"/>
    <mergeCell ref="C96:L96"/>
    <mergeCell ref="C94:I94"/>
    <mergeCell ref="C44:J44"/>
    <mergeCell ref="D45:G45"/>
    <mergeCell ref="C46:J46"/>
    <mergeCell ref="T3:T4"/>
    <mergeCell ref="A3:A4"/>
    <mergeCell ref="I3:I4"/>
    <mergeCell ref="L3:S3"/>
    <mergeCell ref="K3:K4"/>
    <mergeCell ref="H3:H4"/>
    <mergeCell ref="J3:J4"/>
    <mergeCell ref="C3:G4"/>
    <mergeCell ref="C5:K5"/>
    <mergeCell ref="D143:G143"/>
    <mergeCell ref="T138:T139"/>
    <mergeCell ref="D139:G139"/>
    <mergeCell ref="C99:K99"/>
    <mergeCell ref="C118:M118"/>
    <mergeCell ref="T102:T103"/>
    <mergeCell ref="D103:G103"/>
    <mergeCell ref="T114:T115"/>
    <mergeCell ref="D115:G115"/>
    <mergeCell ref="A156:A157"/>
    <mergeCell ref="T156:T157"/>
    <mergeCell ref="T146:T147"/>
    <mergeCell ref="T152:T153"/>
    <mergeCell ref="D153:G153"/>
    <mergeCell ref="D155:G155"/>
    <mergeCell ref="A150:A151"/>
    <mergeCell ref="T150:T151"/>
    <mergeCell ref="D151:G151"/>
    <mergeCell ref="D147:G147"/>
    <mergeCell ref="T178:T179"/>
    <mergeCell ref="D181:G181"/>
    <mergeCell ref="C177:J177"/>
    <mergeCell ref="T132:T133"/>
    <mergeCell ref="D133:G133"/>
    <mergeCell ref="T134:T135"/>
    <mergeCell ref="D135:G135"/>
    <mergeCell ref="T140:T141"/>
    <mergeCell ref="D141:G141"/>
    <mergeCell ref="T142:T143"/>
    <mergeCell ref="D47:G47"/>
    <mergeCell ref="C48:J48"/>
    <mergeCell ref="D49:G49"/>
    <mergeCell ref="C50:J50"/>
    <mergeCell ref="D51:G51"/>
    <mergeCell ref="C52:J52"/>
    <mergeCell ref="D53:G53"/>
    <mergeCell ref="C54:J54"/>
    <mergeCell ref="D55:G55"/>
    <mergeCell ref="C56:J56"/>
    <mergeCell ref="D57:G57"/>
    <mergeCell ref="C58:J58"/>
    <mergeCell ref="D59:G59"/>
    <mergeCell ref="C60:J60"/>
    <mergeCell ref="D61:G61"/>
    <mergeCell ref="C62:J62"/>
    <mergeCell ref="D63:G63"/>
    <mergeCell ref="C64:J64"/>
    <mergeCell ref="D65:G65"/>
    <mergeCell ref="C66:J66"/>
    <mergeCell ref="D67:G67"/>
    <mergeCell ref="C68:J68"/>
    <mergeCell ref="D69:G69"/>
    <mergeCell ref="C70:J70"/>
    <mergeCell ref="D71:G71"/>
    <mergeCell ref="T44:T45"/>
    <mergeCell ref="T46:T47"/>
    <mergeCell ref="T48:T49"/>
    <mergeCell ref="T50:T51"/>
    <mergeCell ref="T52:T53"/>
    <mergeCell ref="T54:T55"/>
    <mergeCell ref="T56:T57"/>
    <mergeCell ref="T58:T59"/>
    <mergeCell ref="T68:T69"/>
    <mergeCell ref="T70:T71"/>
    <mergeCell ref="T60:T61"/>
    <mergeCell ref="T62:T63"/>
    <mergeCell ref="T64:T65"/>
    <mergeCell ref="T66:T67"/>
    <mergeCell ref="C210:I212"/>
    <mergeCell ref="J210:J212"/>
    <mergeCell ref="T210:T212"/>
    <mergeCell ref="A206:A207"/>
    <mergeCell ref="T206:T207"/>
    <mergeCell ref="D207:G207"/>
    <mergeCell ref="A208:A209"/>
    <mergeCell ref="T208:T209"/>
    <mergeCell ref="D209:G209"/>
  </mergeCells>
  <printOptions horizontalCentered="1"/>
  <pageMargins left="0.58" right="0.4724409448818898" top="0.81" bottom="0.69" header="0.5118110236220472" footer="0.5118110236220472"/>
  <pageSetup horizontalDpi="600" verticalDpi="600" orientation="landscape" paperSize="9" scale="58" r:id="rId1"/>
  <rowBreaks count="6" manualBreakCount="6">
    <brk id="21" min="2" max="19" man="1"/>
    <brk id="41" min="2" max="19" man="1"/>
    <brk id="79" min="2" max="19" man="1"/>
    <brk id="101" min="2" max="19" man="1"/>
    <brk id="123" min="2" max="19" man="1"/>
    <brk id="221" min="2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52"/>
  <sheetViews>
    <sheetView zoomScale="75" zoomScaleNormal="75" zoomScaleSheetLayoutView="100" workbookViewId="0" topLeftCell="B37">
      <selection activeCell="K43" sqref="K43"/>
    </sheetView>
  </sheetViews>
  <sheetFormatPr defaultColWidth="9.140625" defaultRowHeight="15" customHeight="1"/>
  <cols>
    <col min="1" max="1" width="14.00390625" style="122" hidden="1" customWidth="1"/>
    <col min="2" max="2" width="9.140625" style="123" customWidth="1"/>
    <col min="3" max="3" width="4.8515625" style="124" customWidth="1"/>
    <col min="4" max="6" width="9.140625" style="124" customWidth="1"/>
    <col min="7" max="7" width="17.7109375" style="124" customWidth="1"/>
    <col min="8" max="8" width="16.8515625" style="124" customWidth="1"/>
    <col min="9" max="9" width="11.57421875" style="124" customWidth="1"/>
    <col min="10" max="10" width="15.8515625" style="124" bestFit="1" customWidth="1"/>
    <col min="11" max="11" width="11.140625" style="124" customWidth="1"/>
    <col min="12" max="14" width="14.421875" style="124" bestFit="1" customWidth="1"/>
    <col min="15" max="16" width="12.28125" style="124" customWidth="1"/>
    <col min="17" max="19" width="12.28125" style="124" hidden="1" customWidth="1"/>
    <col min="20" max="20" width="14.421875" style="125" customWidth="1"/>
    <col min="21" max="16384" width="9.140625" style="124" customWidth="1"/>
  </cols>
  <sheetData>
    <row r="1" ht="15" customHeight="1">
      <c r="C1" s="237" t="s">
        <v>267</v>
      </c>
    </row>
    <row r="2" spans="2:20" s="242" customFormat="1" ht="26.25" customHeight="1" thickBot="1">
      <c r="B2" s="243"/>
      <c r="C2" s="246" t="s">
        <v>268</v>
      </c>
      <c r="D2" s="245"/>
      <c r="T2" s="244"/>
    </row>
    <row r="3" spans="1:20" ht="25.5" customHeight="1">
      <c r="A3" s="52" t="s">
        <v>278</v>
      </c>
      <c r="B3" s="64"/>
      <c r="C3" s="777" t="s">
        <v>279</v>
      </c>
      <c r="D3" s="778"/>
      <c r="E3" s="778"/>
      <c r="F3" s="778"/>
      <c r="G3" s="779"/>
      <c r="H3" s="775" t="s">
        <v>513</v>
      </c>
      <c r="I3" s="633" t="s">
        <v>282</v>
      </c>
      <c r="J3" s="775" t="s">
        <v>283</v>
      </c>
      <c r="K3" s="633" t="s">
        <v>284</v>
      </c>
      <c r="L3" s="786" t="s">
        <v>286</v>
      </c>
      <c r="M3" s="787"/>
      <c r="N3" s="787"/>
      <c r="O3" s="787"/>
      <c r="P3" s="787"/>
      <c r="Q3" s="787"/>
      <c r="R3" s="787"/>
      <c r="S3" s="787"/>
      <c r="T3" s="783" t="s">
        <v>287</v>
      </c>
    </row>
    <row r="4" spans="1:20" ht="36" customHeight="1" thickBot="1">
      <c r="A4" s="69"/>
      <c r="B4" s="64"/>
      <c r="C4" s="780"/>
      <c r="D4" s="781"/>
      <c r="E4" s="781"/>
      <c r="F4" s="781"/>
      <c r="G4" s="782"/>
      <c r="H4" s="776"/>
      <c r="I4" s="785"/>
      <c r="J4" s="776"/>
      <c r="K4" s="785"/>
      <c r="L4" s="70">
        <v>2011</v>
      </c>
      <c r="M4" s="71">
        <v>2012</v>
      </c>
      <c r="N4" s="71">
        <v>2013</v>
      </c>
      <c r="O4" s="71">
        <v>2014</v>
      </c>
      <c r="P4" s="71">
        <v>2015</v>
      </c>
      <c r="Q4" s="71">
        <v>2016</v>
      </c>
      <c r="R4" s="71">
        <v>2017</v>
      </c>
      <c r="S4" s="72">
        <v>2018</v>
      </c>
      <c r="T4" s="784"/>
    </row>
    <row r="5" spans="1:20" s="195" customFormat="1" ht="20.25" customHeight="1" thickBot="1">
      <c r="A5" s="189"/>
      <c r="B5" s="190"/>
      <c r="C5" s="199" t="s">
        <v>288</v>
      </c>
      <c r="D5" s="200"/>
      <c r="E5" s="200"/>
      <c r="F5" s="200"/>
      <c r="G5" s="200"/>
      <c r="H5" s="191"/>
      <c r="I5" s="191"/>
      <c r="J5" s="191"/>
      <c r="K5" s="189"/>
      <c r="L5" s="189"/>
      <c r="M5" s="192"/>
      <c r="N5" s="193"/>
      <c r="O5" s="193"/>
      <c r="P5" s="193"/>
      <c r="Q5" s="193"/>
      <c r="R5" s="193"/>
      <c r="S5" s="194"/>
      <c r="T5" s="241"/>
    </row>
    <row r="6" spans="1:20" s="126" customFormat="1" ht="23.25" customHeight="1" thickBot="1">
      <c r="A6" s="118"/>
      <c r="B6" s="119"/>
      <c r="C6" s="773" t="s">
        <v>466</v>
      </c>
      <c r="D6" s="774"/>
      <c r="E6" s="774"/>
      <c r="F6" s="774"/>
      <c r="G6" s="774"/>
      <c r="H6" s="774"/>
      <c r="I6" s="774"/>
      <c r="J6" s="774"/>
      <c r="K6" s="120"/>
      <c r="L6" s="120"/>
      <c r="M6" s="120"/>
      <c r="N6" s="120"/>
      <c r="O6" s="120"/>
      <c r="P6" s="120"/>
      <c r="Q6" s="120"/>
      <c r="R6" s="120"/>
      <c r="S6" s="120"/>
      <c r="T6" s="714">
        <v>31701688</v>
      </c>
    </row>
    <row r="7" spans="1:20" s="128" customFormat="1" ht="32.25" customHeight="1" thickBot="1">
      <c r="A7" s="113"/>
      <c r="B7" s="66"/>
      <c r="C7" s="127"/>
      <c r="D7" s="716" t="s">
        <v>465</v>
      </c>
      <c r="E7" s="716"/>
      <c r="F7" s="716"/>
      <c r="G7" s="717"/>
      <c r="H7" s="115" t="s">
        <v>516</v>
      </c>
      <c r="I7" s="115" t="s">
        <v>327</v>
      </c>
      <c r="J7" s="116">
        <v>31701688</v>
      </c>
      <c r="K7" s="115" t="s">
        <v>297</v>
      </c>
      <c r="L7" s="11">
        <v>15850844</v>
      </c>
      <c r="M7" s="10">
        <v>15850844</v>
      </c>
      <c r="N7" s="10"/>
      <c r="O7" s="10"/>
      <c r="P7" s="10"/>
      <c r="Q7" s="10"/>
      <c r="R7" s="10"/>
      <c r="S7" s="10"/>
      <c r="T7" s="715"/>
    </row>
    <row r="8" spans="1:20" s="126" customFormat="1" ht="23.25" customHeight="1" thickBot="1">
      <c r="A8" s="118"/>
      <c r="B8" s="119"/>
      <c r="C8" s="773" t="s">
        <v>467</v>
      </c>
      <c r="D8" s="774"/>
      <c r="E8" s="774"/>
      <c r="F8" s="774"/>
      <c r="G8" s="774"/>
      <c r="H8" s="774"/>
      <c r="I8" s="774"/>
      <c r="J8" s="774"/>
      <c r="K8" s="120"/>
      <c r="L8" s="120"/>
      <c r="M8" s="120"/>
      <c r="N8" s="120"/>
      <c r="O8" s="120"/>
      <c r="P8" s="120"/>
      <c r="Q8" s="120"/>
      <c r="R8" s="120"/>
      <c r="S8" s="120"/>
      <c r="T8" s="714">
        <v>8050000</v>
      </c>
    </row>
    <row r="9" spans="1:20" s="128" customFormat="1" ht="32.25" customHeight="1" thickBot="1">
      <c r="A9" s="113"/>
      <c r="B9" s="66"/>
      <c r="C9" s="127"/>
      <c r="D9" s="716" t="s">
        <v>465</v>
      </c>
      <c r="E9" s="716"/>
      <c r="F9" s="716"/>
      <c r="G9" s="717"/>
      <c r="H9" s="115" t="s">
        <v>516</v>
      </c>
      <c r="I9" s="115" t="s">
        <v>327</v>
      </c>
      <c r="J9" s="116">
        <v>8050000</v>
      </c>
      <c r="K9" s="115" t="s">
        <v>297</v>
      </c>
      <c r="L9" s="11">
        <v>4025000</v>
      </c>
      <c r="M9" s="10">
        <v>4025000</v>
      </c>
      <c r="N9" s="10"/>
      <c r="O9" s="10"/>
      <c r="P9" s="10"/>
      <c r="Q9" s="10"/>
      <c r="R9" s="10"/>
      <c r="S9" s="10"/>
      <c r="T9" s="715"/>
    </row>
    <row r="10" spans="1:20" s="126" customFormat="1" ht="23.25" customHeight="1" thickBot="1">
      <c r="A10" s="118"/>
      <c r="B10" s="119"/>
      <c r="C10" s="773" t="s">
        <v>468</v>
      </c>
      <c r="D10" s="774"/>
      <c r="E10" s="774"/>
      <c r="F10" s="774"/>
      <c r="G10" s="774"/>
      <c r="H10" s="774"/>
      <c r="I10" s="774"/>
      <c r="J10" s="774"/>
      <c r="K10" s="120"/>
      <c r="L10" s="120"/>
      <c r="M10" s="120"/>
      <c r="N10" s="120"/>
      <c r="O10" s="120"/>
      <c r="P10" s="120"/>
      <c r="Q10" s="120"/>
      <c r="R10" s="120"/>
      <c r="S10" s="120"/>
      <c r="T10" s="714">
        <v>4480900</v>
      </c>
    </row>
    <row r="11" spans="1:20" s="128" customFormat="1" ht="32.25" customHeight="1" thickBot="1">
      <c r="A11" s="113"/>
      <c r="B11" s="66"/>
      <c r="C11" s="127"/>
      <c r="D11" s="734" t="s">
        <v>520</v>
      </c>
      <c r="E11" s="734"/>
      <c r="F11" s="734"/>
      <c r="G11" s="735"/>
      <c r="H11" s="115" t="s">
        <v>516</v>
      </c>
      <c r="I11" s="115" t="s">
        <v>327</v>
      </c>
      <c r="J11" s="116">
        <v>4480900</v>
      </c>
      <c r="K11" s="115" t="s">
        <v>297</v>
      </c>
      <c r="L11" s="11">
        <v>2240450</v>
      </c>
      <c r="M11" s="10">
        <v>2240450</v>
      </c>
      <c r="N11" s="10"/>
      <c r="O11" s="10"/>
      <c r="P11" s="10"/>
      <c r="Q11" s="10"/>
      <c r="R11" s="10"/>
      <c r="S11" s="10"/>
      <c r="T11" s="715"/>
    </row>
    <row r="12" spans="1:20" s="126" customFormat="1" ht="23.25" customHeight="1" thickBot="1">
      <c r="A12" s="118"/>
      <c r="B12" s="119"/>
      <c r="C12" s="773" t="s">
        <v>469</v>
      </c>
      <c r="D12" s="774"/>
      <c r="E12" s="774"/>
      <c r="F12" s="774"/>
      <c r="G12" s="774"/>
      <c r="H12" s="774"/>
      <c r="I12" s="774"/>
      <c r="J12" s="774"/>
      <c r="K12" s="120"/>
      <c r="L12" s="120"/>
      <c r="M12" s="120"/>
      <c r="N12" s="120"/>
      <c r="O12" s="120"/>
      <c r="P12" s="120"/>
      <c r="Q12" s="120"/>
      <c r="R12" s="120"/>
      <c r="S12" s="120"/>
      <c r="T12" s="714">
        <v>1340000</v>
      </c>
    </row>
    <row r="13" spans="1:20" s="128" customFormat="1" ht="26.25" customHeight="1" thickBot="1">
      <c r="A13" s="113"/>
      <c r="B13" s="66"/>
      <c r="C13" s="127"/>
      <c r="D13" s="716" t="s">
        <v>470</v>
      </c>
      <c r="E13" s="716"/>
      <c r="F13" s="716"/>
      <c r="G13" s="717"/>
      <c r="H13" s="115" t="s">
        <v>516</v>
      </c>
      <c r="I13" s="115" t="s">
        <v>327</v>
      </c>
      <c r="J13" s="116">
        <v>1340000</v>
      </c>
      <c r="K13" s="115" t="s">
        <v>297</v>
      </c>
      <c r="L13" s="11">
        <v>670000</v>
      </c>
      <c r="M13" s="10">
        <v>670000</v>
      </c>
      <c r="N13" s="10"/>
      <c r="O13" s="10"/>
      <c r="P13" s="10"/>
      <c r="Q13" s="10"/>
      <c r="R13" s="10"/>
      <c r="S13" s="10"/>
      <c r="T13" s="715"/>
    </row>
    <row r="14" spans="1:20" s="126" customFormat="1" ht="23.25" customHeight="1" thickBot="1">
      <c r="A14" s="118"/>
      <c r="B14" s="119"/>
      <c r="C14" s="773" t="s">
        <v>471</v>
      </c>
      <c r="D14" s="774"/>
      <c r="E14" s="774"/>
      <c r="F14" s="774"/>
      <c r="G14" s="774"/>
      <c r="H14" s="774"/>
      <c r="I14" s="774"/>
      <c r="J14" s="774"/>
      <c r="K14" s="120"/>
      <c r="L14" s="120"/>
      <c r="M14" s="120"/>
      <c r="N14" s="120"/>
      <c r="O14" s="120"/>
      <c r="P14" s="120"/>
      <c r="Q14" s="120"/>
      <c r="R14" s="120"/>
      <c r="S14" s="120"/>
      <c r="T14" s="714">
        <v>38000000</v>
      </c>
    </row>
    <row r="15" spans="1:20" s="128" customFormat="1" ht="39.75" customHeight="1" thickBot="1">
      <c r="A15" s="113"/>
      <c r="B15" s="66"/>
      <c r="C15" s="127"/>
      <c r="D15" s="716" t="s">
        <v>472</v>
      </c>
      <c r="E15" s="716"/>
      <c r="F15" s="716"/>
      <c r="G15" s="717"/>
      <c r="H15" s="115" t="s">
        <v>516</v>
      </c>
      <c r="I15" s="115" t="s">
        <v>327</v>
      </c>
      <c r="J15" s="116">
        <v>38000000</v>
      </c>
      <c r="K15" s="115" t="s">
        <v>297</v>
      </c>
      <c r="L15" s="23">
        <v>19000000</v>
      </c>
      <c r="M15" s="24">
        <v>19000000</v>
      </c>
      <c r="N15" s="24"/>
      <c r="O15" s="24"/>
      <c r="P15" s="24"/>
      <c r="Q15" s="24"/>
      <c r="R15" s="24"/>
      <c r="S15" s="24"/>
      <c r="T15" s="575"/>
    </row>
    <row r="16" spans="1:20" s="134" customFormat="1" ht="32.25" customHeight="1" thickBot="1">
      <c r="A16" s="67"/>
      <c r="B16" s="133"/>
      <c r="C16" s="743" t="s">
        <v>517</v>
      </c>
      <c r="D16" s="744"/>
      <c r="E16" s="744"/>
      <c r="F16" s="744"/>
      <c r="G16" s="744"/>
      <c r="H16" s="744"/>
      <c r="I16" s="745"/>
      <c r="J16" s="67">
        <f>+J7+J9+J11+J13+J15</f>
        <v>83572588</v>
      </c>
      <c r="K16" s="211" t="s">
        <v>297</v>
      </c>
      <c r="L16" s="224">
        <f>L15+L13+L11+L9+L7</f>
        <v>41786294</v>
      </c>
      <c r="M16" s="225">
        <f>M15+M13+M11+M9+M7</f>
        <v>41786294</v>
      </c>
      <c r="N16" s="225">
        <f>N15+N13+N11+N9+N7</f>
        <v>0</v>
      </c>
      <c r="O16" s="225">
        <f>O15+O13+O11+O9+O7</f>
        <v>0</v>
      </c>
      <c r="P16" s="225">
        <f>P15+P13+P11+P9+P7</f>
        <v>0</v>
      </c>
      <c r="Q16" s="225">
        <f>Q15</f>
        <v>0</v>
      </c>
      <c r="R16" s="225">
        <f>R15</f>
        <v>0</v>
      </c>
      <c r="S16" s="226">
        <f>S15</f>
        <v>0</v>
      </c>
      <c r="T16" s="216">
        <f>T14+T12+T10+T8+T6</f>
        <v>83572588</v>
      </c>
    </row>
    <row r="17" spans="1:20" s="195" customFormat="1" ht="20.25" customHeight="1" thickBot="1">
      <c r="A17" s="189"/>
      <c r="B17" s="190"/>
      <c r="C17" s="199" t="s">
        <v>435</v>
      </c>
      <c r="D17" s="200"/>
      <c r="E17" s="200"/>
      <c r="F17" s="200"/>
      <c r="G17" s="200"/>
      <c r="H17" s="191"/>
      <c r="I17" s="191"/>
      <c r="J17" s="191"/>
      <c r="K17" s="189"/>
      <c r="L17" s="189"/>
      <c r="M17" s="192"/>
      <c r="N17" s="193"/>
      <c r="O17" s="193"/>
      <c r="P17" s="193"/>
      <c r="Q17" s="193"/>
      <c r="R17" s="193"/>
      <c r="S17" s="194"/>
      <c r="T17" s="241"/>
    </row>
    <row r="18" spans="1:20" s="126" customFormat="1" ht="23.25" customHeight="1" thickBot="1">
      <c r="A18" s="118">
        <v>75023</v>
      </c>
      <c r="B18" s="119"/>
      <c r="C18" s="773" t="s">
        <v>488</v>
      </c>
      <c r="D18" s="774"/>
      <c r="E18" s="774"/>
      <c r="F18" s="774"/>
      <c r="G18" s="774"/>
      <c r="H18" s="774"/>
      <c r="I18" s="774"/>
      <c r="J18" s="774"/>
      <c r="K18" s="120"/>
      <c r="L18" s="120"/>
      <c r="M18" s="120"/>
      <c r="N18" s="120"/>
      <c r="O18" s="120"/>
      <c r="P18" s="120"/>
      <c r="Q18" s="120"/>
      <c r="R18" s="120"/>
      <c r="S18" s="120"/>
      <c r="T18" s="714">
        <v>2900000</v>
      </c>
    </row>
    <row r="19" spans="1:20" s="128" customFormat="1" ht="32.25" customHeight="1" thickBot="1">
      <c r="A19" s="113"/>
      <c r="B19" s="66"/>
      <c r="C19" s="127"/>
      <c r="D19" s="716" t="s">
        <v>489</v>
      </c>
      <c r="E19" s="716"/>
      <c r="F19" s="716"/>
      <c r="G19" s="717"/>
      <c r="H19" s="115" t="s">
        <v>295</v>
      </c>
      <c r="I19" s="115" t="s">
        <v>480</v>
      </c>
      <c r="J19" s="116">
        <v>2900000</v>
      </c>
      <c r="K19" s="115" t="s">
        <v>297</v>
      </c>
      <c r="L19" s="11">
        <v>700000</v>
      </c>
      <c r="M19" s="10">
        <v>750000</v>
      </c>
      <c r="N19" s="10">
        <v>700000</v>
      </c>
      <c r="O19" s="10">
        <v>750000</v>
      </c>
      <c r="P19" s="10"/>
      <c r="Q19" s="10"/>
      <c r="R19" s="10"/>
      <c r="S19" s="10"/>
      <c r="T19" s="715"/>
    </row>
    <row r="20" spans="1:20" s="134" customFormat="1" ht="32.25" customHeight="1" thickBot="1">
      <c r="A20" s="67"/>
      <c r="B20" s="133"/>
      <c r="C20" s="737" t="s">
        <v>517</v>
      </c>
      <c r="D20" s="738"/>
      <c r="E20" s="738"/>
      <c r="F20" s="738"/>
      <c r="G20" s="738"/>
      <c r="H20" s="738"/>
      <c r="I20" s="739"/>
      <c r="J20" s="210">
        <f>+J19</f>
        <v>2900000</v>
      </c>
      <c r="K20" s="211" t="s">
        <v>297</v>
      </c>
      <c r="L20" s="224">
        <f>L19</f>
        <v>700000</v>
      </c>
      <c r="M20" s="225">
        <f aca="true" t="shared" si="0" ref="M20:S20">M19</f>
        <v>750000</v>
      </c>
      <c r="N20" s="225">
        <f t="shared" si="0"/>
        <v>700000</v>
      </c>
      <c r="O20" s="225">
        <f t="shared" si="0"/>
        <v>750000</v>
      </c>
      <c r="P20" s="225">
        <f t="shared" si="0"/>
        <v>0</v>
      </c>
      <c r="Q20" s="225">
        <f t="shared" si="0"/>
        <v>0</v>
      </c>
      <c r="R20" s="225">
        <f t="shared" si="0"/>
        <v>0</v>
      </c>
      <c r="S20" s="226">
        <f t="shared" si="0"/>
        <v>0</v>
      </c>
      <c r="T20" s="227">
        <f>T18</f>
        <v>2900000</v>
      </c>
    </row>
    <row r="21" spans="1:20" s="195" customFormat="1" ht="20.25" customHeight="1" thickBot="1">
      <c r="A21" s="189"/>
      <c r="B21" s="190"/>
      <c r="C21" s="199" t="s">
        <v>397</v>
      </c>
      <c r="D21" s="200"/>
      <c r="E21" s="200"/>
      <c r="F21" s="200"/>
      <c r="G21" s="200"/>
      <c r="H21" s="191"/>
      <c r="I21" s="191"/>
      <c r="J21" s="191"/>
      <c r="K21" s="189"/>
      <c r="L21" s="189"/>
      <c r="M21" s="192"/>
      <c r="N21" s="193"/>
      <c r="O21" s="193"/>
      <c r="P21" s="193"/>
      <c r="Q21" s="193"/>
      <c r="R21" s="193"/>
      <c r="S21" s="194"/>
      <c r="T21" s="241"/>
    </row>
    <row r="22" spans="1:20" s="126" customFormat="1" ht="23.25" customHeight="1" thickBot="1">
      <c r="A22" s="118">
        <v>75023</v>
      </c>
      <c r="B22" s="119"/>
      <c r="C22" s="773" t="s">
        <v>494</v>
      </c>
      <c r="D22" s="774"/>
      <c r="E22" s="774"/>
      <c r="F22" s="774"/>
      <c r="G22" s="774"/>
      <c r="H22" s="774"/>
      <c r="I22" s="774"/>
      <c r="J22" s="774"/>
      <c r="K22" s="120"/>
      <c r="L22" s="120"/>
      <c r="M22" s="120"/>
      <c r="N22" s="120"/>
      <c r="O22" s="120"/>
      <c r="P22" s="120"/>
      <c r="Q22" s="120"/>
      <c r="R22" s="120"/>
      <c r="S22" s="120"/>
      <c r="T22" s="714">
        <v>400000</v>
      </c>
    </row>
    <row r="23" spans="1:20" s="128" customFormat="1" ht="57.75" customHeight="1" thickBot="1">
      <c r="A23" s="113"/>
      <c r="B23" s="66"/>
      <c r="C23" s="298"/>
      <c r="D23" s="730" t="s">
        <v>495</v>
      </c>
      <c r="E23" s="730"/>
      <c r="F23" s="730"/>
      <c r="G23" s="731"/>
      <c r="H23" s="300" t="s">
        <v>295</v>
      </c>
      <c r="I23" s="300" t="s">
        <v>496</v>
      </c>
      <c r="J23" s="164">
        <v>400000</v>
      </c>
      <c r="K23" s="300" t="s">
        <v>297</v>
      </c>
      <c r="L23" s="301">
        <v>0</v>
      </c>
      <c r="M23" s="302">
        <v>100000</v>
      </c>
      <c r="N23" s="302">
        <v>100000</v>
      </c>
      <c r="O23" s="302">
        <v>100000</v>
      </c>
      <c r="P23" s="302">
        <v>100000</v>
      </c>
      <c r="Q23" s="299"/>
      <c r="R23" s="299"/>
      <c r="S23" s="299"/>
      <c r="T23" s="715"/>
    </row>
    <row r="24" spans="1:20" s="126" customFormat="1" ht="23.25" customHeight="1" thickBot="1">
      <c r="A24" s="118">
        <v>75023</v>
      </c>
      <c r="B24" s="119"/>
      <c r="C24" s="773" t="s">
        <v>500</v>
      </c>
      <c r="D24" s="774"/>
      <c r="E24" s="774"/>
      <c r="F24" s="774"/>
      <c r="G24" s="774"/>
      <c r="H24" s="774"/>
      <c r="I24" s="774"/>
      <c r="J24" s="774"/>
      <c r="K24" s="120"/>
      <c r="L24" s="120"/>
      <c r="M24" s="120"/>
      <c r="N24" s="120"/>
      <c r="O24" s="120"/>
      <c r="P24" s="120"/>
      <c r="Q24" s="120"/>
      <c r="R24" s="120"/>
      <c r="S24" s="120"/>
      <c r="T24" s="714">
        <v>18000000</v>
      </c>
    </row>
    <row r="25" spans="1:20" s="128" customFormat="1" ht="51.75" customHeight="1" thickBot="1">
      <c r="A25" s="113"/>
      <c r="B25" s="66"/>
      <c r="C25" s="127"/>
      <c r="D25" s="716" t="s">
        <v>501</v>
      </c>
      <c r="E25" s="716"/>
      <c r="F25" s="716"/>
      <c r="G25" s="717"/>
      <c r="H25" s="115" t="s">
        <v>295</v>
      </c>
      <c r="I25" s="115" t="s">
        <v>502</v>
      </c>
      <c r="J25" s="116">
        <v>18000000</v>
      </c>
      <c r="K25" s="136" t="s">
        <v>297</v>
      </c>
      <c r="L25" s="129">
        <v>0</v>
      </c>
      <c r="M25" s="10">
        <v>6000000</v>
      </c>
      <c r="N25" s="10">
        <v>6000000</v>
      </c>
      <c r="O25" s="63">
        <v>6000000</v>
      </c>
      <c r="P25" s="130"/>
      <c r="Q25" s="10"/>
      <c r="R25" s="10"/>
      <c r="S25" s="10"/>
      <c r="T25" s="715"/>
    </row>
    <row r="26" spans="1:20" s="126" customFormat="1" ht="23.25" customHeight="1" thickBot="1">
      <c r="A26" s="118">
        <v>75023</v>
      </c>
      <c r="B26" s="119"/>
      <c r="C26" s="773" t="s">
        <v>478</v>
      </c>
      <c r="D26" s="774"/>
      <c r="E26" s="774"/>
      <c r="F26" s="774"/>
      <c r="G26" s="774"/>
      <c r="H26" s="774"/>
      <c r="I26" s="774"/>
      <c r="J26" s="774"/>
      <c r="K26" s="120"/>
      <c r="L26" s="120"/>
      <c r="M26" s="120"/>
      <c r="N26" s="120"/>
      <c r="O26" s="120"/>
      <c r="P26" s="120"/>
      <c r="Q26" s="120"/>
      <c r="R26" s="120"/>
      <c r="S26" s="120"/>
      <c r="T26" s="714">
        <v>7400000</v>
      </c>
    </row>
    <row r="27" spans="1:20" s="128" customFormat="1" ht="46.5" customHeight="1" thickBot="1">
      <c r="A27" s="113"/>
      <c r="B27" s="66"/>
      <c r="C27" s="127"/>
      <c r="D27" s="716" t="s">
        <v>479</v>
      </c>
      <c r="E27" s="716"/>
      <c r="F27" s="716"/>
      <c r="G27" s="717"/>
      <c r="H27" s="115" t="s">
        <v>295</v>
      </c>
      <c r="I27" s="136" t="s">
        <v>480</v>
      </c>
      <c r="J27" s="116">
        <v>7400000</v>
      </c>
      <c r="K27" s="136" t="s">
        <v>297</v>
      </c>
      <c r="L27" s="129">
        <v>1375000</v>
      </c>
      <c r="M27" s="130">
        <v>2700000</v>
      </c>
      <c r="N27" s="130">
        <v>2325000</v>
      </c>
      <c r="O27" s="130">
        <v>1000000</v>
      </c>
      <c r="P27" s="130"/>
      <c r="Q27" s="10"/>
      <c r="R27" s="10"/>
      <c r="S27" s="10"/>
      <c r="T27" s="715"/>
    </row>
    <row r="28" spans="1:20" s="126" customFormat="1" ht="23.25" customHeight="1" thickBot="1">
      <c r="A28" s="118">
        <v>75023</v>
      </c>
      <c r="B28" s="119"/>
      <c r="C28" s="773" t="s">
        <v>481</v>
      </c>
      <c r="D28" s="774"/>
      <c r="E28" s="774"/>
      <c r="F28" s="774"/>
      <c r="G28" s="774"/>
      <c r="H28" s="774"/>
      <c r="I28" s="774"/>
      <c r="J28" s="774"/>
      <c r="K28" s="120"/>
      <c r="L28" s="120"/>
      <c r="M28" s="120"/>
      <c r="N28" s="120"/>
      <c r="O28" s="120"/>
      <c r="P28" s="120"/>
      <c r="Q28" s="120"/>
      <c r="R28" s="120"/>
      <c r="S28" s="120"/>
      <c r="T28" s="714">
        <v>910000</v>
      </c>
    </row>
    <row r="29" spans="1:20" s="128" customFormat="1" ht="47.25" customHeight="1" thickBot="1">
      <c r="A29" s="113"/>
      <c r="B29" s="66"/>
      <c r="C29" s="127"/>
      <c r="D29" s="716" t="s">
        <v>482</v>
      </c>
      <c r="E29" s="716"/>
      <c r="F29" s="716"/>
      <c r="G29" s="717"/>
      <c r="H29" s="115" t="s">
        <v>295</v>
      </c>
      <c r="I29" s="136" t="s">
        <v>327</v>
      </c>
      <c r="J29" s="116">
        <v>910000</v>
      </c>
      <c r="K29" s="136" t="s">
        <v>297</v>
      </c>
      <c r="L29" s="129">
        <v>603340</v>
      </c>
      <c r="M29" s="130">
        <v>306660</v>
      </c>
      <c r="N29" s="130"/>
      <c r="O29" s="130"/>
      <c r="P29" s="130"/>
      <c r="Q29" s="10"/>
      <c r="R29" s="10"/>
      <c r="S29" s="10"/>
      <c r="T29" s="715"/>
    </row>
    <row r="30" spans="1:20" s="126" customFormat="1" ht="24" customHeight="1" thickBot="1">
      <c r="A30" s="118">
        <v>75023</v>
      </c>
      <c r="B30" s="119"/>
      <c r="C30" s="773" t="s">
        <v>514</v>
      </c>
      <c r="D30" s="774"/>
      <c r="E30" s="774"/>
      <c r="F30" s="774"/>
      <c r="G30" s="774"/>
      <c r="H30" s="774"/>
      <c r="I30" s="774"/>
      <c r="J30" s="774"/>
      <c r="K30" s="120"/>
      <c r="L30" s="120"/>
      <c r="M30" s="120"/>
      <c r="N30" s="120"/>
      <c r="O30" s="120"/>
      <c r="P30" s="120"/>
      <c r="Q30" s="120"/>
      <c r="R30" s="120"/>
      <c r="S30" s="120"/>
      <c r="T30" s="714">
        <v>300000</v>
      </c>
    </row>
    <row r="31" spans="1:20" s="128" customFormat="1" ht="47.25" customHeight="1" thickBot="1">
      <c r="A31" s="113"/>
      <c r="B31" s="66"/>
      <c r="C31" s="127"/>
      <c r="D31" s="716" t="s">
        <v>483</v>
      </c>
      <c r="E31" s="716"/>
      <c r="F31" s="716"/>
      <c r="G31" s="717"/>
      <c r="H31" s="115" t="s">
        <v>295</v>
      </c>
      <c r="I31" s="136" t="s">
        <v>480</v>
      </c>
      <c r="J31" s="116">
        <v>300000</v>
      </c>
      <c r="K31" s="136" t="s">
        <v>297</v>
      </c>
      <c r="L31" s="129">
        <v>58340</v>
      </c>
      <c r="M31" s="130">
        <v>100000</v>
      </c>
      <c r="N31" s="130">
        <v>100000</v>
      </c>
      <c r="O31" s="130">
        <v>41660</v>
      </c>
      <c r="P31" s="130"/>
      <c r="Q31" s="10"/>
      <c r="R31" s="10"/>
      <c r="S31" s="10"/>
      <c r="T31" s="715"/>
    </row>
    <row r="32" spans="1:20" s="126" customFormat="1" ht="23.25" customHeight="1" thickBot="1">
      <c r="A32" s="118">
        <v>75023</v>
      </c>
      <c r="B32" s="119"/>
      <c r="C32" s="773" t="s">
        <v>484</v>
      </c>
      <c r="D32" s="774"/>
      <c r="E32" s="774"/>
      <c r="F32" s="774"/>
      <c r="G32" s="774"/>
      <c r="H32" s="774"/>
      <c r="I32" s="774"/>
      <c r="J32" s="774"/>
      <c r="K32" s="120"/>
      <c r="L32" s="120"/>
      <c r="M32" s="120"/>
      <c r="N32" s="120"/>
      <c r="O32" s="120"/>
      <c r="P32" s="120"/>
      <c r="Q32" s="120"/>
      <c r="R32" s="120"/>
      <c r="S32" s="120"/>
      <c r="T32" s="714">
        <v>3660000</v>
      </c>
    </row>
    <row r="33" spans="1:20" s="128" customFormat="1" ht="45.75" customHeight="1" thickBot="1">
      <c r="A33" s="113"/>
      <c r="B33" s="66"/>
      <c r="C33" s="127"/>
      <c r="D33" s="716" t="s">
        <v>515</v>
      </c>
      <c r="E33" s="716"/>
      <c r="F33" s="716"/>
      <c r="G33" s="717"/>
      <c r="H33" s="115" t="s">
        <v>295</v>
      </c>
      <c r="I33" s="136" t="s">
        <v>485</v>
      </c>
      <c r="J33" s="116">
        <v>3660000</v>
      </c>
      <c r="K33" s="136" t="s">
        <v>297</v>
      </c>
      <c r="L33" s="129">
        <v>760000</v>
      </c>
      <c r="M33" s="130">
        <v>900000</v>
      </c>
      <c r="N33" s="130">
        <v>900000</v>
      </c>
      <c r="O33" s="130">
        <v>900000</v>
      </c>
      <c r="P33" s="130">
        <v>200000</v>
      </c>
      <c r="Q33" s="10"/>
      <c r="R33" s="10"/>
      <c r="S33" s="10"/>
      <c r="T33" s="715"/>
    </row>
    <row r="34" spans="1:20" s="134" customFormat="1" ht="32.25" customHeight="1" thickBot="1">
      <c r="A34" s="67"/>
      <c r="B34" s="133"/>
      <c r="C34" s="737" t="s">
        <v>517</v>
      </c>
      <c r="D34" s="738"/>
      <c r="E34" s="738"/>
      <c r="F34" s="738"/>
      <c r="G34" s="738"/>
      <c r="H34" s="738"/>
      <c r="I34" s="739"/>
      <c r="J34" s="210">
        <f>J25+J27+J29+J31+J33+J23</f>
        <v>30670000</v>
      </c>
      <c r="K34" s="211" t="s">
        <v>297</v>
      </c>
      <c r="L34" s="224">
        <f>L33+L31+L29+L27+L25+L23</f>
        <v>2796680</v>
      </c>
      <c r="M34" s="225">
        <f aca="true" t="shared" si="1" ref="M34:S34">M33+M31+M29+M27+M25+M23</f>
        <v>10106660</v>
      </c>
      <c r="N34" s="225">
        <f t="shared" si="1"/>
        <v>9425000</v>
      </c>
      <c r="O34" s="225">
        <f t="shared" si="1"/>
        <v>8041660</v>
      </c>
      <c r="P34" s="225">
        <f t="shared" si="1"/>
        <v>300000</v>
      </c>
      <c r="Q34" s="225">
        <f t="shared" si="1"/>
        <v>0</v>
      </c>
      <c r="R34" s="225">
        <f t="shared" si="1"/>
        <v>0</v>
      </c>
      <c r="S34" s="226">
        <f t="shared" si="1"/>
        <v>0</v>
      </c>
      <c r="T34" s="227">
        <f>T32+T30+T28+T26+T24+T22</f>
        <v>30670000</v>
      </c>
    </row>
    <row r="35" spans="1:20" s="195" customFormat="1" ht="20.25" customHeight="1" thickBot="1">
      <c r="A35" s="189"/>
      <c r="B35" s="190"/>
      <c r="C35" s="199" t="s">
        <v>460</v>
      </c>
      <c r="D35" s="200"/>
      <c r="E35" s="200"/>
      <c r="F35" s="200"/>
      <c r="G35" s="200"/>
      <c r="H35" s="191"/>
      <c r="I35" s="191"/>
      <c r="J35" s="191"/>
      <c r="K35" s="189"/>
      <c r="L35" s="189"/>
      <c r="M35" s="192"/>
      <c r="N35" s="193"/>
      <c r="O35" s="193"/>
      <c r="P35" s="193"/>
      <c r="Q35" s="193"/>
      <c r="R35" s="193"/>
      <c r="S35" s="194"/>
      <c r="T35" s="241"/>
    </row>
    <row r="36" spans="1:20" s="126" customFormat="1" ht="32.25" customHeight="1" thickBot="1">
      <c r="A36" s="118"/>
      <c r="B36" s="119"/>
      <c r="C36" s="773" t="s">
        <v>176</v>
      </c>
      <c r="D36" s="774"/>
      <c r="E36" s="774"/>
      <c r="F36" s="774"/>
      <c r="G36" s="774"/>
      <c r="H36" s="774"/>
      <c r="I36" s="774"/>
      <c r="J36" s="774"/>
      <c r="K36" s="120"/>
      <c r="L36" s="120"/>
      <c r="M36" s="120"/>
      <c r="N36" s="120"/>
      <c r="O36" s="120"/>
      <c r="P36" s="120"/>
      <c r="Q36" s="120"/>
      <c r="R36" s="120"/>
      <c r="S36" s="120"/>
      <c r="T36" s="714">
        <v>288000</v>
      </c>
    </row>
    <row r="37" spans="1:20" s="128" customFormat="1" ht="54.75" customHeight="1" thickBot="1">
      <c r="A37" s="113"/>
      <c r="B37" s="66"/>
      <c r="C37" s="127"/>
      <c r="D37" s="716" t="s">
        <v>177</v>
      </c>
      <c r="E37" s="716"/>
      <c r="F37" s="716"/>
      <c r="G37" s="717"/>
      <c r="H37" s="115" t="s">
        <v>461</v>
      </c>
      <c r="I37" s="115" t="s">
        <v>444</v>
      </c>
      <c r="J37" s="116">
        <v>288000</v>
      </c>
      <c r="K37" s="115" t="s">
        <v>297</v>
      </c>
      <c r="L37" s="11">
        <v>96000</v>
      </c>
      <c r="M37" s="10">
        <v>96000</v>
      </c>
      <c r="N37" s="10">
        <v>96000</v>
      </c>
      <c r="O37" s="10">
        <v>0</v>
      </c>
      <c r="P37" s="10">
        <v>0</v>
      </c>
      <c r="Q37" s="10"/>
      <c r="R37" s="10"/>
      <c r="S37" s="10"/>
      <c r="T37" s="715"/>
    </row>
    <row r="38" spans="1:20" s="134" customFormat="1" ht="32.25" customHeight="1" thickBot="1">
      <c r="A38" s="67"/>
      <c r="B38" s="133"/>
      <c r="C38" s="737" t="s">
        <v>518</v>
      </c>
      <c r="D38" s="738"/>
      <c r="E38" s="738"/>
      <c r="F38" s="738"/>
      <c r="G38" s="738"/>
      <c r="H38" s="738"/>
      <c r="I38" s="739"/>
      <c r="J38" s="210">
        <f>+J37</f>
        <v>288000</v>
      </c>
      <c r="K38" s="211" t="s">
        <v>297</v>
      </c>
      <c r="L38" s="224">
        <f aca="true" t="shared" si="2" ref="L38:S38">L37</f>
        <v>96000</v>
      </c>
      <c r="M38" s="225">
        <f t="shared" si="2"/>
        <v>96000</v>
      </c>
      <c r="N38" s="225">
        <f t="shared" si="2"/>
        <v>96000</v>
      </c>
      <c r="O38" s="225">
        <f t="shared" si="2"/>
        <v>0</v>
      </c>
      <c r="P38" s="225">
        <f t="shared" si="2"/>
        <v>0</v>
      </c>
      <c r="Q38" s="225">
        <f t="shared" si="2"/>
        <v>0</v>
      </c>
      <c r="R38" s="225">
        <f t="shared" si="2"/>
        <v>0</v>
      </c>
      <c r="S38" s="226">
        <f t="shared" si="2"/>
        <v>0</v>
      </c>
      <c r="T38" s="227">
        <f>T36</f>
        <v>288000</v>
      </c>
    </row>
    <row r="39" spans="1:20" s="195" customFormat="1" ht="20.25" customHeight="1" thickBot="1">
      <c r="A39" s="189"/>
      <c r="B39" s="190"/>
      <c r="C39" s="199" t="s">
        <v>462</v>
      </c>
      <c r="D39" s="200"/>
      <c r="E39" s="200"/>
      <c r="F39" s="200"/>
      <c r="G39" s="200"/>
      <c r="H39" s="191"/>
      <c r="I39" s="191"/>
      <c r="J39" s="191"/>
      <c r="K39" s="189"/>
      <c r="L39" s="189"/>
      <c r="M39" s="192"/>
      <c r="N39" s="193"/>
      <c r="O39" s="193"/>
      <c r="P39" s="193"/>
      <c r="Q39" s="193"/>
      <c r="R39" s="193"/>
      <c r="S39" s="194"/>
      <c r="T39" s="241"/>
    </row>
    <row r="40" spans="1:20" s="126" customFormat="1" ht="41.25" customHeight="1" thickBot="1">
      <c r="A40" s="118"/>
      <c r="B40" s="119"/>
      <c r="C40" s="789" t="s">
        <v>512</v>
      </c>
      <c r="D40" s="790"/>
      <c r="E40" s="790"/>
      <c r="F40" s="790"/>
      <c r="G40" s="790"/>
      <c r="H40" s="790"/>
      <c r="I40" s="790"/>
      <c r="J40" s="790"/>
      <c r="K40" s="790"/>
      <c r="L40" s="120"/>
      <c r="M40" s="120"/>
      <c r="N40" s="120"/>
      <c r="O40" s="120"/>
      <c r="P40" s="120"/>
      <c r="Q40" s="120"/>
      <c r="R40" s="120"/>
      <c r="S40" s="120"/>
      <c r="T40" s="714">
        <v>297500</v>
      </c>
    </row>
    <row r="41" spans="1:20" s="128" customFormat="1" ht="48.75" customHeight="1" thickBot="1">
      <c r="A41" s="113"/>
      <c r="B41" s="66"/>
      <c r="C41" s="127"/>
      <c r="D41" s="716" t="s">
        <v>463</v>
      </c>
      <c r="E41" s="716"/>
      <c r="F41" s="716"/>
      <c r="G41" s="717"/>
      <c r="H41" s="115" t="s">
        <v>464</v>
      </c>
      <c r="I41" s="115" t="s">
        <v>327</v>
      </c>
      <c r="J41" s="116">
        <v>297500</v>
      </c>
      <c r="K41" s="115" t="s">
        <v>297</v>
      </c>
      <c r="L41" s="23">
        <v>127500</v>
      </c>
      <c r="M41" s="24">
        <v>170000</v>
      </c>
      <c r="N41" s="24">
        <v>0</v>
      </c>
      <c r="O41" s="24">
        <v>0</v>
      </c>
      <c r="P41" s="24">
        <v>0</v>
      </c>
      <c r="Q41" s="10"/>
      <c r="R41" s="10"/>
      <c r="S41" s="10"/>
      <c r="T41" s="788"/>
    </row>
    <row r="42" spans="1:20" s="126" customFormat="1" ht="23.25" customHeight="1" thickBot="1">
      <c r="A42" s="118"/>
      <c r="B42" s="119"/>
      <c r="C42" s="773" t="s">
        <v>510</v>
      </c>
      <c r="D42" s="774"/>
      <c r="E42" s="774"/>
      <c r="F42" s="774"/>
      <c r="G42" s="774"/>
      <c r="H42" s="774"/>
      <c r="I42" s="774"/>
      <c r="J42" s="774"/>
      <c r="K42" s="120"/>
      <c r="L42" s="120"/>
      <c r="M42" s="120"/>
      <c r="N42" s="120"/>
      <c r="O42" s="120"/>
      <c r="P42" s="186"/>
      <c r="Q42" s="149"/>
      <c r="R42" s="149"/>
      <c r="S42" s="149"/>
      <c r="T42" s="575">
        <v>424816</v>
      </c>
    </row>
    <row r="43" spans="1:20" s="128" customFormat="1" ht="68.25" customHeight="1" thickBot="1">
      <c r="A43" s="113"/>
      <c r="B43" s="66"/>
      <c r="C43" s="127"/>
      <c r="D43" s="716" t="s">
        <v>511</v>
      </c>
      <c r="E43" s="716"/>
      <c r="F43" s="716"/>
      <c r="G43" s="717"/>
      <c r="H43" s="115" t="s">
        <v>295</v>
      </c>
      <c r="I43" s="115" t="s">
        <v>444</v>
      </c>
      <c r="J43" s="116">
        <v>424816</v>
      </c>
      <c r="K43" s="115" t="s">
        <v>297</v>
      </c>
      <c r="L43" s="23">
        <v>141442</v>
      </c>
      <c r="M43" s="24">
        <v>141687</v>
      </c>
      <c r="N43" s="24">
        <v>141687</v>
      </c>
      <c r="O43" s="10"/>
      <c r="P43" s="10"/>
      <c r="Q43" s="10"/>
      <c r="R43" s="10"/>
      <c r="S43" s="10"/>
      <c r="T43" s="715"/>
    </row>
    <row r="44" spans="1:20" s="126" customFormat="1" ht="23.25" customHeight="1" thickBot="1">
      <c r="A44" s="118"/>
      <c r="B44" s="119"/>
      <c r="C44" s="773" t="s">
        <v>509</v>
      </c>
      <c r="D44" s="774"/>
      <c r="E44" s="774"/>
      <c r="F44" s="774"/>
      <c r="G44" s="774"/>
      <c r="H44" s="774"/>
      <c r="I44" s="774"/>
      <c r="J44" s="774"/>
      <c r="K44" s="120"/>
      <c r="L44" s="120"/>
      <c r="M44" s="120"/>
      <c r="N44" s="120"/>
      <c r="O44" s="120"/>
      <c r="P44" s="120"/>
      <c r="Q44" s="120"/>
      <c r="R44" s="120"/>
      <c r="S44" s="120"/>
      <c r="T44" s="714">
        <v>4148280</v>
      </c>
    </row>
    <row r="45" spans="1:20" s="128" customFormat="1" ht="56.25" customHeight="1" thickBot="1">
      <c r="A45" s="113"/>
      <c r="B45" s="66"/>
      <c r="C45" s="127"/>
      <c r="D45" s="716" t="s">
        <v>506</v>
      </c>
      <c r="E45" s="716"/>
      <c r="F45" s="716"/>
      <c r="G45" s="717"/>
      <c r="H45" s="115" t="s">
        <v>295</v>
      </c>
      <c r="I45" s="137" t="s">
        <v>327</v>
      </c>
      <c r="J45" s="138">
        <v>4148280</v>
      </c>
      <c r="K45" s="115" t="s">
        <v>297</v>
      </c>
      <c r="L45" s="48">
        <v>2074140</v>
      </c>
      <c r="M45" s="48">
        <v>2074140</v>
      </c>
      <c r="N45" s="10"/>
      <c r="O45" s="10"/>
      <c r="P45" s="10"/>
      <c r="Q45" s="10"/>
      <c r="R45" s="10"/>
      <c r="S45" s="10"/>
      <c r="T45" s="715"/>
    </row>
    <row r="46" spans="1:20" s="126" customFormat="1" ht="23.25" customHeight="1" thickBot="1">
      <c r="A46" s="118"/>
      <c r="B46" s="119"/>
      <c r="C46" s="773" t="s">
        <v>507</v>
      </c>
      <c r="D46" s="774"/>
      <c r="E46" s="774"/>
      <c r="F46" s="774"/>
      <c r="G46" s="774"/>
      <c r="H46" s="774"/>
      <c r="I46" s="774"/>
      <c r="J46" s="774"/>
      <c r="K46" s="120"/>
      <c r="L46" s="120"/>
      <c r="M46" s="120"/>
      <c r="N46" s="120"/>
      <c r="O46" s="120"/>
      <c r="P46" s="120"/>
      <c r="Q46" s="120"/>
      <c r="R46" s="120"/>
      <c r="S46" s="120"/>
      <c r="T46" s="714">
        <v>2740000</v>
      </c>
    </row>
    <row r="47" spans="1:20" s="128" customFormat="1" ht="45.75" customHeight="1" thickBot="1">
      <c r="A47" s="113"/>
      <c r="B47" s="66"/>
      <c r="C47" s="127"/>
      <c r="D47" s="716" t="s">
        <v>508</v>
      </c>
      <c r="E47" s="716"/>
      <c r="F47" s="716"/>
      <c r="G47" s="717"/>
      <c r="H47" s="115" t="s">
        <v>295</v>
      </c>
      <c r="I47" s="139" t="s">
        <v>327</v>
      </c>
      <c r="J47" s="138">
        <v>2740000</v>
      </c>
      <c r="K47" s="115" t="s">
        <v>297</v>
      </c>
      <c r="L47" s="48">
        <v>1370000</v>
      </c>
      <c r="M47" s="48">
        <v>1370000</v>
      </c>
      <c r="N47" s="10"/>
      <c r="O47" s="10"/>
      <c r="P47" s="10"/>
      <c r="Q47" s="10"/>
      <c r="R47" s="10"/>
      <c r="S47" s="10"/>
      <c r="T47" s="715"/>
    </row>
    <row r="48" spans="1:20" s="134" customFormat="1" ht="32.25" customHeight="1" thickBot="1">
      <c r="A48" s="67"/>
      <c r="B48" s="133"/>
      <c r="C48" s="737" t="s">
        <v>517</v>
      </c>
      <c r="D48" s="738"/>
      <c r="E48" s="738"/>
      <c r="F48" s="738"/>
      <c r="G48" s="738"/>
      <c r="H48" s="738"/>
      <c r="I48" s="739"/>
      <c r="J48" s="210">
        <f>J43+J45+J47+J41</f>
        <v>7610596</v>
      </c>
      <c r="K48" s="211" t="s">
        <v>297</v>
      </c>
      <c r="L48" s="224">
        <f aca="true" t="shared" si="3" ref="L48:S48">L43+L45+L47+L41</f>
        <v>3713082</v>
      </c>
      <c r="M48" s="225">
        <f t="shared" si="3"/>
        <v>3755827</v>
      </c>
      <c r="N48" s="225">
        <f t="shared" si="3"/>
        <v>141687</v>
      </c>
      <c r="O48" s="225">
        <f>O43+O45+O47+O41</f>
        <v>0</v>
      </c>
      <c r="P48" s="225">
        <f t="shared" si="3"/>
        <v>0</v>
      </c>
      <c r="Q48" s="225">
        <f t="shared" si="3"/>
        <v>0</v>
      </c>
      <c r="R48" s="225">
        <f t="shared" si="3"/>
        <v>0</v>
      </c>
      <c r="S48" s="226">
        <f t="shared" si="3"/>
        <v>0</v>
      </c>
      <c r="T48" s="227">
        <f>T40+T42+T44+T46</f>
        <v>7610596</v>
      </c>
    </row>
    <row r="49" spans="1:20" s="135" customFormat="1" ht="32.25" customHeight="1" thickBot="1">
      <c r="A49" s="65"/>
      <c r="B49" s="133"/>
      <c r="C49" s="791" t="s">
        <v>428</v>
      </c>
      <c r="D49" s="792"/>
      <c r="E49" s="792"/>
      <c r="F49" s="792"/>
      <c r="G49" s="792"/>
      <c r="H49" s="792"/>
      <c r="I49" s="793"/>
      <c r="J49" s="305">
        <f>J48+J38+J34+J20+J16</f>
        <v>125041184</v>
      </c>
      <c r="K49" s="306" t="s">
        <v>301</v>
      </c>
      <c r="L49" s="307">
        <f aca="true" t="shared" si="4" ref="L49:T49">L48+L38+L34+L20+L16</f>
        <v>49092056</v>
      </c>
      <c r="M49" s="308">
        <f t="shared" si="4"/>
        <v>56494781</v>
      </c>
      <c r="N49" s="308">
        <f t="shared" si="4"/>
        <v>10362687</v>
      </c>
      <c r="O49" s="308">
        <f t="shared" si="4"/>
        <v>8791660</v>
      </c>
      <c r="P49" s="308">
        <f t="shared" si="4"/>
        <v>300000</v>
      </c>
      <c r="Q49" s="308">
        <f t="shared" si="4"/>
        <v>0</v>
      </c>
      <c r="R49" s="308">
        <f t="shared" si="4"/>
        <v>0</v>
      </c>
      <c r="S49" s="309">
        <f t="shared" si="4"/>
        <v>0</v>
      </c>
      <c r="T49" s="310">
        <f t="shared" si="4"/>
        <v>125041184</v>
      </c>
    </row>
    <row r="51" spans="12:19" ht="15" customHeight="1">
      <c r="L51" s="124">
        <f>+L7+L9+L11+L13+L15+L19+L23+L25+L27+L29+L31+L33+L37+L41+L43+L45+L47</f>
        <v>49092056</v>
      </c>
      <c r="M51" s="124">
        <f>+M7+M9+M11+M13+M15+M19+M23+M25+M27+M29+M31+M33+M37+M41+M43+M45+M47</f>
        <v>56494781</v>
      </c>
      <c r="N51" s="124">
        <f>+N7+N9+N11+N13+N15+N19+N23+N25+N27+N29+N31+N33+N37+N41+N43+N45+N47</f>
        <v>10362687</v>
      </c>
      <c r="O51" s="124">
        <f>+O7+O9+O11+O13+O15+O19+O23+O25+O27+O29+O31+O33+O37+O41+O43+O45+O47</f>
        <v>8791660</v>
      </c>
      <c r="P51" s="124">
        <f>+P7+P9+P11+P13+P15+P19+P23+P25+P27+P29+P31+P33+P37+P41+P43+P45+P47</f>
        <v>300000</v>
      </c>
      <c r="Q51" s="124" t="e">
        <f>#REF!+#REF!+Q7+Q9+Q11+Q13+Q15+Q19+Q23+Q25+Q27+Q29+Q31+Q33+Q37+Q41+Q43+Q45+Q47</f>
        <v>#REF!</v>
      </c>
      <c r="R51" s="124" t="e">
        <f>#REF!+#REF!+R7+R9+R11+R13+R15+R19+R23+R25+R27+R29+R31+R33+R37+R41+R43+R45+R47</f>
        <v>#REF!</v>
      </c>
      <c r="S51" s="124" t="e">
        <f>#REF!+#REF!+S7+S9+S11+S13+S15+S19+S23+S25+S27+S29+S31+S33+S37+S41+S43+S45+S47</f>
        <v>#REF!</v>
      </c>
    </row>
    <row r="52" spans="12:16" ht="15" customHeight="1">
      <c r="L52" s="124" t="b">
        <f>L51=L49</f>
        <v>1</v>
      </c>
      <c r="M52" s="124" t="b">
        <f>M51=M49</f>
        <v>1</v>
      </c>
      <c r="N52" s="124" t="b">
        <f>N51=N49</f>
        <v>1</v>
      </c>
      <c r="O52" s="124" t="b">
        <f>O51=O49</f>
        <v>1</v>
      </c>
      <c r="P52" s="124" t="b">
        <f>P51=P49</f>
        <v>1</v>
      </c>
    </row>
  </sheetData>
  <mergeCells count="64">
    <mergeCell ref="C49:I49"/>
    <mergeCell ref="C46:J46"/>
    <mergeCell ref="C20:I20"/>
    <mergeCell ref="C34:I34"/>
    <mergeCell ref="C28:J28"/>
    <mergeCell ref="C26:J26"/>
    <mergeCell ref="C30:J30"/>
    <mergeCell ref="D29:G29"/>
    <mergeCell ref="D27:G27"/>
    <mergeCell ref="T12:T13"/>
    <mergeCell ref="C12:J12"/>
    <mergeCell ref="D25:G25"/>
    <mergeCell ref="C38:I38"/>
    <mergeCell ref="C36:J36"/>
    <mergeCell ref="D31:G31"/>
    <mergeCell ref="C32:J32"/>
    <mergeCell ref="D33:G33"/>
    <mergeCell ref="C16:I16"/>
    <mergeCell ref="C24:J24"/>
    <mergeCell ref="T46:T47"/>
    <mergeCell ref="D47:G47"/>
    <mergeCell ref="C48:I48"/>
    <mergeCell ref="T44:T45"/>
    <mergeCell ref="D45:G45"/>
    <mergeCell ref="T40:T41"/>
    <mergeCell ref="D41:G41"/>
    <mergeCell ref="C44:J44"/>
    <mergeCell ref="C42:J42"/>
    <mergeCell ref="T42:T43"/>
    <mergeCell ref="D43:G43"/>
    <mergeCell ref="C40:K40"/>
    <mergeCell ref="C10:J10"/>
    <mergeCell ref="L3:S3"/>
    <mergeCell ref="K3:K4"/>
    <mergeCell ref="T24:T25"/>
    <mergeCell ref="T10:T11"/>
    <mergeCell ref="D11:G11"/>
    <mergeCell ref="C14:J14"/>
    <mergeCell ref="T14:T15"/>
    <mergeCell ref="D15:G15"/>
    <mergeCell ref="D13:G13"/>
    <mergeCell ref="H3:H4"/>
    <mergeCell ref="J3:J4"/>
    <mergeCell ref="C3:G4"/>
    <mergeCell ref="T3:T4"/>
    <mergeCell ref="I3:I4"/>
    <mergeCell ref="T6:T7"/>
    <mergeCell ref="D7:G7"/>
    <mergeCell ref="T8:T9"/>
    <mergeCell ref="D9:G9"/>
    <mergeCell ref="C8:J8"/>
    <mergeCell ref="C6:J6"/>
    <mergeCell ref="T18:T19"/>
    <mergeCell ref="T22:T23"/>
    <mergeCell ref="D23:G23"/>
    <mergeCell ref="C22:J22"/>
    <mergeCell ref="C18:J18"/>
    <mergeCell ref="D19:G19"/>
    <mergeCell ref="T36:T37"/>
    <mergeCell ref="D37:G37"/>
    <mergeCell ref="T26:T27"/>
    <mergeCell ref="T28:T29"/>
    <mergeCell ref="T30:T31"/>
    <mergeCell ref="T32:T33"/>
  </mergeCells>
  <printOptions horizontalCentered="1"/>
  <pageMargins left="0.54" right="0.4724409448818898" top="0.5118110236220472" bottom="0.5118110236220472" header="0.5118110236220472" footer="0.5118110236220472"/>
  <pageSetup horizontalDpi="600" verticalDpi="600" orientation="landscape" paperSize="9" scale="73" r:id="rId1"/>
  <rowBreaks count="2" manualBreakCount="2">
    <brk id="23" min="2" max="19" man="1"/>
    <brk id="38" min="2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178"/>
  <sheetViews>
    <sheetView zoomScale="85" zoomScaleNormal="85" workbookViewId="0" topLeftCell="A1">
      <selection activeCell="F22" sqref="F22"/>
    </sheetView>
  </sheetViews>
  <sheetFormatPr defaultColWidth="9.140625" defaultRowHeight="15" customHeight="1"/>
  <cols>
    <col min="1" max="1" width="6.7109375" style="0" customWidth="1"/>
    <col min="5" max="5" width="16.57421875" style="0" customWidth="1"/>
    <col min="6" max="6" width="13.28125" style="1" customWidth="1"/>
    <col min="7" max="7" width="11.57421875" style="1" customWidth="1"/>
    <col min="8" max="8" width="14.7109375" style="1" bestFit="1" customWidth="1"/>
    <col min="9" max="9" width="13.8515625" style="1" customWidth="1"/>
    <col min="10" max="10" width="12.7109375" style="1" customWidth="1"/>
    <col min="11" max="11" width="13.28125" style="1" customWidth="1"/>
    <col min="12" max="13" width="12.28125" style="1" customWidth="1"/>
    <col min="14" max="14" width="12.7109375" style="1" bestFit="1" customWidth="1"/>
    <col min="15" max="17" width="12.28125" style="1" customWidth="1"/>
    <col min="18" max="18" width="11.00390625" style="1" customWidth="1"/>
    <col min="19" max="30" width="12.28125" style="1" customWidth="1"/>
    <col min="31" max="31" width="12.140625" style="3" customWidth="1"/>
  </cols>
  <sheetData>
    <row r="2" ht="15" customHeight="1">
      <c r="A2" s="237" t="s">
        <v>440</v>
      </c>
    </row>
    <row r="3" ht="15" customHeight="1" thickBot="1"/>
    <row r="4" spans="1:30" s="1" customFormat="1" ht="60" customHeight="1" thickBot="1">
      <c r="A4" s="601" t="s">
        <v>279</v>
      </c>
      <c r="B4" s="602"/>
      <c r="C4" s="602"/>
      <c r="D4" s="602"/>
      <c r="E4" s="603"/>
      <c r="F4" s="53" t="s">
        <v>281</v>
      </c>
      <c r="G4" s="5" t="s">
        <v>282</v>
      </c>
      <c r="H4" s="53" t="s">
        <v>283</v>
      </c>
      <c r="I4" s="5" t="s">
        <v>284</v>
      </c>
      <c r="J4" s="800" t="s">
        <v>286</v>
      </c>
      <c r="K4" s="801"/>
      <c r="L4" s="801"/>
      <c r="M4" s="801"/>
      <c r="N4" s="801"/>
      <c r="O4" s="801"/>
      <c r="P4" s="802"/>
      <c r="Q4" s="54" t="s">
        <v>287</v>
      </c>
      <c r="S4" s="74"/>
      <c r="T4" s="74"/>
      <c r="U4" s="74"/>
      <c r="V4" s="74"/>
      <c r="W4" s="74"/>
      <c r="X4" s="74"/>
      <c r="Y4" s="74"/>
      <c r="Z4" s="62"/>
      <c r="AA4" s="62"/>
      <c r="AB4" s="62"/>
      <c r="AC4" s="62"/>
      <c r="AD4" s="62"/>
    </row>
    <row r="5" spans="1:31" s="1" customFormat="1" ht="25.5" customHeight="1" thickBot="1">
      <c r="A5" s="803" t="s">
        <v>499</v>
      </c>
      <c r="B5" s="804"/>
      <c r="C5" s="804"/>
      <c r="D5" s="804"/>
      <c r="E5" s="804"/>
      <c r="F5" s="73"/>
      <c r="G5" s="73"/>
      <c r="H5" s="73"/>
      <c r="I5" s="73"/>
      <c r="J5" s="84"/>
      <c r="K5" s="84"/>
      <c r="L5" s="84"/>
      <c r="M5" s="84"/>
      <c r="N5" s="84"/>
      <c r="O5" s="84"/>
      <c r="P5" s="84"/>
      <c r="Q5" s="87"/>
      <c r="AE5" s="55"/>
    </row>
    <row r="6" spans="1:31" s="1" customFormat="1" ht="13.5" thickBot="1">
      <c r="A6" s="812" t="s">
        <v>519</v>
      </c>
      <c r="B6" s="813"/>
      <c r="C6" s="813"/>
      <c r="D6" s="813"/>
      <c r="E6" s="814"/>
      <c r="F6" s="825" t="s">
        <v>295</v>
      </c>
      <c r="G6" s="624" t="s">
        <v>498</v>
      </c>
      <c r="H6" s="805">
        <v>277875645</v>
      </c>
      <c r="I6" s="624" t="s">
        <v>297</v>
      </c>
      <c r="J6" s="81">
        <v>2011</v>
      </c>
      <c r="K6" s="82">
        <v>2012</v>
      </c>
      <c r="L6" s="82">
        <v>2013</v>
      </c>
      <c r="M6" s="82">
        <v>2014</v>
      </c>
      <c r="N6" s="82">
        <v>2015</v>
      </c>
      <c r="O6" s="82">
        <v>2016</v>
      </c>
      <c r="P6" s="83">
        <v>2017</v>
      </c>
      <c r="Q6" s="809">
        <v>0</v>
      </c>
      <c r="AE6" s="55"/>
    </row>
    <row r="7" spans="1:31" ht="13.5" thickBot="1">
      <c r="A7" s="815"/>
      <c r="B7" s="816"/>
      <c r="C7" s="816"/>
      <c r="D7" s="816"/>
      <c r="E7" s="817"/>
      <c r="F7" s="826"/>
      <c r="G7" s="625"/>
      <c r="H7" s="806"/>
      <c r="I7" s="625"/>
      <c r="J7" s="78">
        <v>6810924</v>
      </c>
      <c r="K7" s="79">
        <v>7840859</v>
      </c>
      <c r="L7" s="79">
        <v>7840859</v>
      </c>
      <c r="M7" s="79">
        <v>7840859</v>
      </c>
      <c r="N7" s="79">
        <v>11102390.33</v>
      </c>
      <c r="O7" s="79">
        <v>18515069.33</v>
      </c>
      <c r="P7" s="80">
        <v>19025678.33</v>
      </c>
      <c r="Q7" s="810"/>
      <c r="AE7" s="56"/>
    </row>
    <row r="8" spans="1:31" ht="15" customHeight="1">
      <c r="A8" s="815"/>
      <c r="B8" s="816"/>
      <c r="C8" s="816"/>
      <c r="D8" s="816"/>
      <c r="E8" s="817"/>
      <c r="F8" s="826"/>
      <c r="G8" s="625"/>
      <c r="H8" s="806"/>
      <c r="I8" s="625"/>
      <c r="J8" s="828" t="s">
        <v>286</v>
      </c>
      <c r="K8" s="829"/>
      <c r="L8" s="829"/>
      <c r="M8" s="829"/>
      <c r="N8" s="829"/>
      <c r="O8" s="829"/>
      <c r="P8" s="830"/>
      <c r="Q8" s="810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40"/>
    </row>
    <row r="9" spans="1:31" ht="15" customHeight="1">
      <c r="A9" s="818"/>
      <c r="B9" s="819"/>
      <c r="C9" s="819"/>
      <c r="D9" s="819"/>
      <c r="E9" s="820"/>
      <c r="F9" s="826"/>
      <c r="G9" s="625"/>
      <c r="H9" s="806"/>
      <c r="I9" s="625"/>
      <c r="J9" s="76">
        <v>2018</v>
      </c>
      <c r="K9" s="75">
        <v>2019</v>
      </c>
      <c r="L9" s="75">
        <v>2020</v>
      </c>
      <c r="M9" s="75">
        <v>2021</v>
      </c>
      <c r="N9" s="75">
        <v>2022</v>
      </c>
      <c r="O9" s="75">
        <v>2023</v>
      </c>
      <c r="P9" s="77">
        <v>2024</v>
      </c>
      <c r="Q9" s="810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40"/>
    </row>
    <row r="10" spans="1:31" ht="15" customHeight="1" thickBot="1">
      <c r="A10" s="85"/>
      <c r="B10" s="821" t="s">
        <v>497</v>
      </c>
      <c r="C10" s="821"/>
      <c r="D10" s="821"/>
      <c r="E10" s="822"/>
      <c r="F10" s="826"/>
      <c r="G10" s="625"/>
      <c r="H10" s="806"/>
      <c r="I10" s="625"/>
      <c r="J10" s="78">
        <v>18502954.33</v>
      </c>
      <c r="K10" s="79">
        <v>17980230.33</v>
      </c>
      <c r="L10" s="79">
        <v>17457506.33</v>
      </c>
      <c r="M10" s="79">
        <v>16934782.33</v>
      </c>
      <c r="N10" s="79">
        <v>16412058.33</v>
      </c>
      <c r="O10" s="79">
        <v>15889334.33</v>
      </c>
      <c r="P10" s="80">
        <v>15366610.33</v>
      </c>
      <c r="Q10" s="810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40"/>
    </row>
    <row r="11" spans="1:31" ht="15" customHeight="1">
      <c r="A11" s="85"/>
      <c r="B11" s="821"/>
      <c r="C11" s="821"/>
      <c r="D11" s="821"/>
      <c r="E11" s="822"/>
      <c r="F11" s="826"/>
      <c r="G11" s="625"/>
      <c r="H11" s="806"/>
      <c r="I11" s="625"/>
      <c r="J11" s="828" t="s">
        <v>286</v>
      </c>
      <c r="K11" s="829"/>
      <c r="L11" s="829"/>
      <c r="M11" s="829"/>
      <c r="N11" s="829"/>
      <c r="O11" s="829"/>
      <c r="P11" s="830"/>
      <c r="Q11" s="810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40"/>
    </row>
    <row r="12" spans="1:31" ht="15" customHeight="1">
      <c r="A12" s="85"/>
      <c r="B12" s="821"/>
      <c r="C12" s="821"/>
      <c r="D12" s="821"/>
      <c r="E12" s="822"/>
      <c r="F12" s="826"/>
      <c r="G12" s="625"/>
      <c r="H12" s="806"/>
      <c r="I12" s="625"/>
      <c r="J12" s="76">
        <v>2025</v>
      </c>
      <c r="K12" s="75">
        <v>2026</v>
      </c>
      <c r="L12" s="75">
        <v>2027</v>
      </c>
      <c r="M12" s="75">
        <v>2028</v>
      </c>
      <c r="N12" s="75">
        <v>2029</v>
      </c>
      <c r="O12" s="75">
        <v>2030</v>
      </c>
      <c r="P12" s="77">
        <v>2031</v>
      </c>
      <c r="Q12" s="810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40"/>
    </row>
    <row r="13" spans="1:31" ht="15" customHeight="1" thickBot="1">
      <c r="A13" s="86"/>
      <c r="B13" s="823"/>
      <c r="C13" s="823"/>
      <c r="D13" s="823"/>
      <c r="E13" s="824"/>
      <c r="F13" s="827"/>
      <c r="G13" s="808"/>
      <c r="H13" s="807"/>
      <c r="I13" s="808"/>
      <c r="J13" s="78">
        <v>14843886.33</v>
      </c>
      <c r="K13" s="79">
        <v>14321162.83</v>
      </c>
      <c r="L13" s="79">
        <v>13798438.83</v>
      </c>
      <c r="M13" s="79">
        <v>13275715.33</v>
      </c>
      <c r="N13" s="79">
        <v>12752991.33</v>
      </c>
      <c r="O13" s="79">
        <v>8950786</v>
      </c>
      <c r="P13" s="80">
        <v>1033333.05</v>
      </c>
      <c r="Q13" s="811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40"/>
    </row>
    <row r="14" spans="17:31" ht="15" customHeight="1"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40"/>
    </row>
    <row r="15" spans="17:31" ht="15" customHeight="1"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40"/>
    </row>
    <row r="16" spans="10:31" ht="15" customHeight="1"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40"/>
    </row>
    <row r="17" spans="10:31" ht="15" customHeight="1"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40"/>
    </row>
    <row r="18" spans="9:31" ht="15" customHeight="1">
      <c r="I18" s="237" t="s">
        <v>589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40"/>
    </row>
    <row r="19" spans="10:31" ht="15" customHeight="1" thickBot="1"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40"/>
    </row>
    <row r="20" spans="5:31" ht="15" customHeight="1">
      <c r="E20" s="798" t="s">
        <v>590</v>
      </c>
      <c r="F20" s="794" t="s">
        <v>576</v>
      </c>
      <c r="G20" s="795"/>
      <c r="H20" s="794" t="s">
        <v>577</v>
      </c>
      <c r="I20" s="795"/>
      <c r="J20" s="430" t="s">
        <v>578</v>
      </c>
      <c r="K20" s="431" t="s">
        <v>579</v>
      </c>
      <c r="L20" s="794" t="s">
        <v>450</v>
      </c>
      <c r="M20" s="796"/>
      <c r="N20" s="795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40"/>
    </row>
    <row r="21" spans="5:31" ht="15" customHeight="1" thickBot="1">
      <c r="E21" s="799"/>
      <c r="F21" s="389" t="s">
        <v>297</v>
      </c>
      <c r="G21" s="390" t="s">
        <v>302</v>
      </c>
      <c r="H21" s="389" t="s">
        <v>297</v>
      </c>
      <c r="I21" s="390" t="s">
        <v>302</v>
      </c>
      <c r="J21" s="294" t="s">
        <v>297</v>
      </c>
      <c r="K21" s="391" t="s">
        <v>131</v>
      </c>
      <c r="L21" s="389" t="s">
        <v>297</v>
      </c>
      <c r="M21" s="392" t="s">
        <v>302</v>
      </c>
      <c r="N21" s="393" t="s">
        <v>301</v>
      </c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40"/>
    </row>
    <row r="22" spans="4:31" ht="15" customHeight="1">
      <c r="D22" s="293"/>
      <c r="E22" s="432">
        <v>2011</v>
      </c>
      <c r="F22" s="433">
        <f>1!N479</f>
        <v>39463282</v>
      </c>
      <c r="G22" s="434">
        <f>1!N484</f>
        <v>464487952</v>
      </c>
      <c r="H22" s="433">
        <f>2!L231</f>
        <v>35431556</v>
      </c>
      <c r="I22" s="434">
        <f>2!L232</f>
        <v>459691002</v>
      </c>
      <c r="J22" s="435">
        <f>3!L49</f>
        <v>49092056</v>
      </c>
      <c r="K22" s="436">
        <f>J7</f>
        <v>6810924</v>
      </c>
      <c r="L22" s="433">
        <f>F22+H22+J22+K22</f>
        <v>130797818</v>
      </c>
      <c r="M22" s="437">
        <f>G22+I22</f>
        <v>924178954</v>
      </c>
      <c r="N22" s="434">
        <f>L22+M22</f>
        <v>1054976772</v>
      </c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40"/>
    </row>
    <row r="23" spans="4:31" ht="15" customHeight="1">
      <c r="D23" s="293"/>
      <c r="E23" s="438">
        <v>2012</v>
      </c>
      <c r="F23" s="412">
        <f>1!O479</f>
        <v>9954109</v>
      </c>
      <c r="G23" s="414">
        <f>1!O484</f>
        <v>357326722</v>
      </c>
      <c r="H23" s="412">
        <f>2!M231</f>
        <v>54722426</v>
      </c>
      <c r="I23" s="414">
        <f>2!M232</f>
        <v>248199708</v>
      </c>
      <c r="J23" s="415">
        <f>3!M49</f>
        <v>56494781</v>
      </c>
      <c r="K23" s="401">
        <f>K7</f>
        <v>7840859</v>
      </c>
      <c r="L23" s="412">
        <f aca="true" t="shared" si="0" ref="L23:L42">F23+H23+J23+K23</f>
        <v>129012175</v>
      </c>
      <c r="M23" s="413">
        <f aca="true" t="shared" si="1" ref="M23:M42">G23+I23</f>
        <v>605526430</v>
      </c>
      <c r="N23" s="414">
        <f aca="true" t="shared" si="2" ref="N23:N42">L23+M23</f>
        <v>734538605</v>
      </c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40"/>
    </row>
    <row r="24" spans="4:31" ht="15" customHeight="1">
      <c r="D24" s="377"/>
      <c r="E24" s="438">
        <v>2013</v>
      </c>
      <c r="F24" s="412">
        <f>1!P479</f>
        <v>1237742</v>
      </c>
      <c r="G24" s="414">
        <f>1!P484</f>
        <v>283805380</v>
      </c>
      <c r="H24" s="412">
        <f>2!N231</f>
        <v>23161669</v>
      </c>
      <c r="I24" s="414">
        <f>2!N232</f>
        <v>121391400</v>
      </c>
      <c r="J24" s="415">
        <f>3!N49</f>
        <v>10362687</v>
      </c>
      <c r="K24" s="401">
        <f>L7</f>
        <v>7840859</v>
      </c>
      <c r="L24" s="412">
        <f t="shared" si="0"/>
        <v>42602957</v>
      </c>
      <c r="M24" s="413">
        <f t="shared" si="1"/>
        <v>405196780</v>
      </c>
      <c r="N24" s="414">
        <f t="shared" si="2"/>
        <v>447799737</v>
      </c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40"/>
    </row>
    <row r="25" spans="4:31" ht="15" customHeight="1">
      <c r="D25" s="377"/>
      <c r="E25" s="438">
        <v>2014</v>
      </c>
      <c r="F25" s="412">
        <f>1!Q479</f>
        <v>0</v>
      </c>
      <c r="G25" s="414">
        <f>1!Q484</f>
        <v>191200000</v>
      </c>
      <c r="H25" s="412">
        <f>2!O231</f>
        <v>0</v>
      </c>
      <c r="I25" s="414">
        <f>2!O232</f>
        <v>261393800</v>
      </c>
      <c r="J25" s="415">
        <f>3!O49</f>
        <v>8791660</v>
      </c>
      <c r="K25" s="401">
        <f>M7</f>
        <v>7840859</v>
      </c>
      <c r="L25" s="412">
        <f t="shared" si="0"/>
        <v>16632519</v>
      </c>
      <c r="M25" s="413">
        <f t="shared" si="1"/>
        <v>452593800</v>
      </c>
      <c r="N25" s="414">
        <f t="shared" si="2"/>
        <v>469226319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0"/>
    </row>
    <row r="26" spans="4:31" ht="15" customHeight="1">
      <c r="D26" s="377"/>
      <c r="E26" s="438">
        <v>2015</v>
      </c>
      <c r="F26" s="412">
        <f>1!R479</f>
        <v>0</v>
      </c>
      <c r="G26" s="414">
        <f>1!R484</f>
        <v>103348500</v>
      </c>
      <c r="H26" s="412">
        <f>2!P231</f>
        <v>0</v>
      </c>
      <c r="I26" s="414">
        <f>2!P232</f>
        <v>133150300</v>
      </c>
      <c r="J26" s="415">
        <f>3!P49</f>
        <v>300000</v>
      </c>
      <c r="K26" s="401">
        <f>N7</f>
        <v>11102390.33</v>
      </c>
      <c r="L26" s="412">
        <f t="shared" si="0"/>
        <v>11402390.33</v>
      </c>
      <c r="M26" s="413">
        <f t="shared" si="1"/>
        <v>236498800</v>
      </c>
      <c r="N26" s="414">
        <f t="shared" si="2"/>
        <v>247901190.33</v>
      </c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</row>
    <row r="27" spans="4:31" ht="15" customHeight="1">
      <c r="D27" s="377"/>
      <c r="E27" s="438">
        <v>2016</v>
      </c>
      <c r="F27" s="412">
        <v>0</v>
      </c>
      <c r="G27" s="414">
        <v>0</v>
      </c>
      <c r="H27" s="412">
        <f>2!Q231</f>
        <v>0</v>
      </c>
      <c r="I27" s="414">
        <f>2!Q232</f>
        <v>138600000</v>
      </c>
      <c r="J27" s="415">
        <v>0</v>
      </c>
      <c r="K27" s="401">
        <f>O7</f>
        <v>18515069.33</v>
      </c>
      <c r="L27" s="412">
        <f t="shared" si="0"/>
        <v>18515069.33</v>
      </c>
      <c r="M27" s="413">
        <f t="shared" si="1"/>
        <v>138600000</v>
      </c>
      <c r="N27" s="414">
        <f t="shared" si="2"/>
        <v>157115069.32999998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40"/>
    </row>
    <row r="28" spans="4:31" ht="15" customHeight="1">
      <c r="D28" s="377"/>
      <c r="E28" s="438">
        <v>2017</v>
      </c>
      <c r="F28" s="412">
        <v>0</v>
      </c>
      <c r="G28" s="414">
        <v>0</v>
      </c>
      <c r="H28" s="412">
        <f>2!R231</f>
        <v>0</v>
      </c>
      <c r="I28" s="414">
        <f>2!R232</f>
        <v>77500000</v>
      </c>
      <c r="J28" s="415">
        <v>0</v>
      </c>
      <c r="K28" s="401">
        <f>P7</f>
        <v>19025678.33</v>
      </c>
      <c r="L28" s="412">
        <f t="shared" si="0"/>
        <v>19025678.33</v>
      </c>
      <c r="M28" s="413">
        <f t="shared" si="1"/>
        <v>77500000</v>
      </c>
      <c r="N28" s="414">
        <f t="shared" si="2"/>
        <v>96525678.33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40"/>
    </row>
    <row r="29" spans="4:31" ht="15" customHeight="1">
      <c r="D29" s="377"/>
      <c r="E29" s="438">
        <v>2018</v>
      </c>
      <c r="F29" s="412">
        <v>0</v>
      </c>
      <c r="G29" s="414">
        <v>0</v>
      </c>
      <c r="H29" s="412">
        <f>2!S231</f>
        <v>0</v>
      </c>
      <c r="I29" s="414">
        <f>2!S232</f>
        <v>64176800</v>
      </c>
      <c r="J29" s="415">
        <v>0</v>
      </c>
      <c r="K29" s="401">
        <f>J10</f>
        <v>18502954.33</v>
      </c>
      <c r="L29" s="412">
        <f t="shared" si="0"/>
        <v>18502954.33</v>
      </c>
      <c r="M29" s="413">
        <f t="shared" si="1"/>
        <v>64176800</v>
      </c>
      <c r="N29" s="414">
        <f t="shared" si="2"/>
        <v>82679754.33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40"/>
    </row>
    <row r="30" spans="4:31" ht="15" customHeight="1">
      <c r="D30" s="797"/>
      <c r="E30" s="438">
        <v>2019</v>
      </c>
      <c r="F30" s="402">
        <v>0</v>
      </c>
      <c r="G30" s="403">
        <v>0</v>
      </c>
      <c r="H30" s="402">
        <v>0</v>
      </c>
      <c r="I30" s="403">
        <v>0</v>
      </c>
      <c r="J30" s="404">
        <v>0</v>
      </c>
      <c r="K30" s="398">
        <f>K10</f>
        <v>17980230.33</v>
      </c>
      <c r="L30" s="405">
        <f t="shared" si="0"/>
        <v>17980230.33</v>
      </c>
      <c r="M30" s="406">
        <f t="shared" si="1"/>
        <v>0</v>
      </c>
      <c r="N30" s="407">
        <f t="shared" si="2"/>
        <v>17980230.33</v>
      </c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40"/>
    </row>
    <row r="31" spans="4:31" ht="15" customHeight="1">
      <c r="D31" s="797"/>
      <c r="E31" s="439">
        <v>2020</v>
      </c>
      <c r="F31" s="405">
        <v>0</v>
      </c>
      <c r="G31" s="407">
        <v>0</v>
      </c>
      <c r="H31" s="405">
        <v>0</v>
      </c>
      <c r="I31" s="407">
        <v>0</v>
      </c>
      <c r="J31" s="408">
        <v>0</v>
      </c>
      <c r="K31" s="399">
        <f>L10</f>
        <v>17457506.33</v>
      </c>
      <c r="L31" s="405">
        <f t="shared" si="0"/>
        <v>17457506.33</v>
      </c>
      <c r="M31" s="406">
        <f t="shared" si="1"/>
        <v>0</v>
      </c>
      <c r="N31" s="407">
        <f t="shared" si="2"/>
        <v>17457506.33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40"/>
    </row>
    <row r="32" spans="4:31" ht="15" customHeight="1">
      <c r="D32" s="797"/>
      <c r="E32" s="439">
        <v>2021</v>
      </c>
      <c r="F32" s="409">
        <v>0</v>
      </c>
      <c r="G32" s="410">
        <v>0</v>
      </c>
      <c r="H32" s="409">
        <v>0</v>
      </c>
      <c r="I32" s="410">
        <v>0</v>
      </c>
      <c r="J32" s="411">
        <v>0</v>
      </c>
      <c r="K32" s="400">
        <f>M10</f>
        <v>16934782.33</v>
      </c>
      <c r="L32" s="412">
        <f t="shared" si="0"/>
        <v>16934782.33</v>
      </c>
      <c r="M32" s="413">
        <f t="shared" si="1"/>
        <v>0</v>
      </c>
      <c r="N32" s="414">
        <f t="shared" si="2"/>
        <v>16934782.33</v>
      </c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40"/>
    </row>
    <row r="33" spans="4:31" ht="15" customHeight="1">
      <c r="D33" s="293"/>
      <c r="E33" s="438">
        <v>2022</v>
      </c>
      <c r="F33" s="394">
        <v>0</v>
      </c>
      <c r="G33" s="395">
        <v>0</v>
      </c>
      <c r="H33" s="394">
        <v>0</v>
      </c>
      <c r="I33" s="395">
        <v>0</v>
      </c>
      <c r="J33" s="396">
        <v>0</v>
      </c>
      <c r="K33" s="397">
        <f>N10</f>
        <v>16412058.33</v>
      </c>
      <c r="L33" s="412">
        <f t="shared" si="0"/>
        <v>16412058.33</v>
      </c>
      <c r="M33" s="413">
        <f t="shared" si="1"/>
        <v>0</v>
      </c>
      <c r="N33" s="414">
        <f t="shared" si="2"/>
        <v>16412058.33</v>
      </c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40"/>
    </row>
    <row r="34" spans="4:31" ht="15" customHeight="1">
      <c r="D34" s="377"/>
      <c r="E34" s="438">
        <v>2023</v>
      </c>
      <c r="F34" s="412">
        <v>0</v>
      </c>
      <c r="G34" s="414">
        <v>0</v>
      </c>
      <c r="H34" s="412">
        <v>0</v>
      </c>
      <c r="I34" s="414">
        <v>0</v>
      </c>
      <c r="J34" s="415">
        <v>0</v>
      </c>
      <c r="K34" s="401">
        <f>O10</f>
        <v>15889334.33</v>
      </c>
      <c r="L34" s="412">
        <f t="shared" si="0"/>
        <v>15889334.33</v>
      </c>
      <c r="M34" s="413">
        <f t="shared" si="1"/>
        <v>0</v>
      </c>
      <c r="N34" s="414">
        <f t="shared" si="2"/>
        <v>15889334.33</v>
      </c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40"/>
    </row>
    <row r="35" spans="4:31" ht="15" customHeight="1">
      <c r="D35" s="293"/>
      <c r="E35" s="438">
        <v>2024</v>
      </c>
      <c r="F35" s="412">
        <v>0</v>
      </c>
      <c r="G35" s="414">
        <v>0</v>
      </c>
      <c r="H35" s="412">
        <v>0</v>
      </c>
      <c r="I35" s="414">
        <v>0</v>
      </c>
      <c r="J35" s="415">
        <v>0</v>
      </c>
      <c r="K35" s="401">
        <f>P10</f>
        <v>15366610.33</v>
      </c>
      <c r="L35" s="412">
        <f t="shared" si="0"/>
        <v>15366610.33</v>
      </c>
      <c r="M35" s="413">
        <f t="shared" si="1"/>
        <v>0</v>
      </c>
      <c r="N35" s="414">
        <f t="shared" si="2"/>
        <v>15366610.33</v>
      </c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40"/>
    </row>
    <row r="36" spans="4:31" ht="15" customHeight="1">
      <c r="D36" s="293"/>
      <c r="E36" s="438">
        <v>2025</v>
      </c>
      <c r="F36" s="412">
        <v>0</v>
      </c>
      <c r="G36" s="414">
        <v>0</v>
      </c>
      <c r="H36" s="412">
        <v>0</v>
      </c>
      <c r="I36" s="414">
        <v>0</v>
      </c>
      <c r="J36" s="415">
        <v>0</v>
      </c>
      <c r="K36" s="401">
        <f>J13</f>
        <v>14843886.33</v>
      </c>
      <c r="L36" s="412">
        <f t="shared" si="0"/>
        <v>14843886.33</v>
      </c>
      <c r="M36" s="413">
        <f t="shared" si="1"/>
        <v>0</v>
      </c>
      <c r="N36" s="414">
        <f t="shared" si="2"/>
        <v>14843886.33</v>
      </c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40"/>
    </row>
    <row r="37" spans="4:31" ht="15" customHeight="1">
      <c r="D37" s="797"/>
      <c r="E37" s="438">
        <v>2026</v>
      </c>
      <c r="F37" s="402">
        <v>0</v>
      </c>
      <c r="G37" s="403">
        <v>0</v>
      </c>
      <c r="H37" s="402">
        <v>0</v>
      </c>
      <c r="I37" s="403">
        <v>0</v>
      </c>
      <c r="J37" s="404">
        <v>0</v>
      </c>
      <c r="K37" s="398">
        <f>K13</f>
        <v>14321162.83</v>
      </c>
      <c r="L37" s="405">
        <f t="shared" si="0"/>
        <v>14321162.83</v>
      </c>
      <c r="M37" s="406">
        <f t="shared" si="1"/>
        <v>0</v>
      </c>
      <c r="N37" s="407">
        <f t="shared" si="2"/>
        <v>14321162.83</v>
      </c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40"/>
    </row>
    <row r="38" spans="4:31" ht="15" customHeight="1">
      <c r="D38" s="797"/>
      <c r="E38" s="439">
        <v>2027</v>
      </c>
      <c r="F38" s="405">
        <v>0</v>
      </c>
      <c r="G38" s="407">
        <v>0</v>
      </c>
      <c r="H38" s="405">
        <v>0</v>
      </c>
      <c r="I38" s="407">
        <v>0</v>
      </c>
      <c r="J38" s="408">
        <v>0</v>
      </c>
      <c r="K38" s="399">
        <f>L13</f>
        <v>13798438.83</v>
      </c>
      <c r="L38" s="405">
        <f t="shared" si="0"/>
        <v>13798438.83</v>
      </c>
      <c r="M38" s="406">
        <f t="shared" si="1"/>
        <v>0</v>
      </c>
      <c r="N38" s="407">
        <f t="shared" si="2"/>
        <v>13798438.83</v>
      </c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40"/>
    </row>
    <row r="39" spans="4:31" ht="15" customHeight="1">
      <c r="D39" s="797"/>
      <c r="E39" s="439">
        <v>2028</v>
      </c>
      <c r="F39" s="405">
        <v>0</v>
      </c>
      <c r="G39" s="407">
        <v>0</v>
      </c>
      <c r="H39" s="405">
        <v>0</v>
      </c>
      <c r="I39" s="407">
        <v>0</v>
      </c>
      <c r="J39" s="408">
        <v>0</v>
      </c>
      <c r="K39" s="399">
        <f>M13</f>
        <v>13275715.33</v>
      </c>
      <c r="L39" s="405">
        <f t="shared" si="0"/>
        <v>13275715.33</v>
      </c>
      <c r="M39" s="406">
        <f t="shared" si="1"/>
        <v>0</v>
      </c>
      <c r="N39" s="407">
        <f t="shared" si="2"/>
        <v>13275715.33</v>
      </c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40"/>
    </row>
    <row r="40" spans="5:31" ht="15" customHeight="1">
      <c r="E40" s="439">
        <v>2029</v>
      </c>
      <c r="F40" s="402">
        <v>0</v>
      </c>
      <c r="G40" s="403">
        <v>0</v>
      </c>
      <c r="H40" s="402">
        <v>0</v>
      </c>
      <c r="I40" s="403">
        <v>0</v>
      </c>
      <c r="J40" s="404">
        <v>0</v>
      </c>
      <c r="K40" s="399">
        <f>N13</f>
        <v>12752991.33</v>
      </c>
      <c r="L40" s="405">
        <f t="shared" si="0"/>
        <v>12752991.33</v>
      </c>
      <c r="M40" s="406">
        <f t="shared" si="1"/>
        <v>0</v>
      </c>
      <c r="N40" s="407">
        <f t="shared" si="2"/>
        <v>12752991.33</v>
      </c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40"/>
    </row>
    <row r="41" spans="5:31" ht="15" customHeight="1">
      <c r="E41" s="439">
        <v>2030</v>
      </c>
      <c r="F41" s="405">
        <v>0</v>
      </c>
      <c r="G41" s="407">
        <v>0</v>
      </c>
      <c r="H41" s="405">
        <v>0</v>
      </c>
      <c r="I41" s="407">
        <v>0</v>
      </c>
      <c r="J41" s="408">
        <v>0</v>
      </c>
      <c r="K41" s="399">
        <f>O13</f>
        <v>8950786</v>
      </c>
      <c r="L41" s="405">
        <f t="shared" si="0"/>
        <v>8950786</v>
      </c>
      <c r="M41" s="406">
        <f t="shared" si="1"/>
        <v>0</v>
      </c>
      <c r="N41" s="407">
        <f t="shared" si="2"/>
        <v>8950786</v>
      </c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40"/>
    </row>
    <row r="42" spans="5:31" ht="15" customHeight="1" thickBot="1">
      <c r="E42" s="440">
        <v>2031</v>
      </c>
      <c r="F42" s="416">
        <v>0</v>
      </c>
      <c r="G42" s="417">
        <v>0</v>
      </c>
      <c r="H42" s="416">
        <v>0</v>
      </c>
      <c r="I42" s="417">
        <v>0</v>
      </c>
      <c r="J42" s="418">
        <v>0</v>
      </c>
      <c r="K42" s="419">
        <f>P13</f>
        <v>1033333.05</v>
      </c>
      <c r="L42" s="416">
        <f t="shared" si="0"/>
        <v>1033333.05</v>
      </c>
      <c r="M42" s="420">
        <f t="shared" si="1"/>
        <v>0</v>
      </c>
      <c r="N42" s="417">
        <f t="shared" si="2"/>
        <v>1033333.05</v>
      </c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40"/>
    </row>
    <row r="43" spans="5:31" ht="15" customHeight="1">
      <c r="E43" s="441"/>
      <c r="F43" s="441"/>
      <c r="G43" s="441"/>
      <c r="H43" s="441"/>
      <c r="I43" s="441"/>
      <c r="J43" s="442"/>
      <c r="K43" s="442"/>
      <c r="L43" s="442"/>
      <c r="M43" s="442"/>
      <c r="N43" s="442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40"/>
    </row>
    <row r="44" spans="10:31" ht="15" customHeight="1"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40"/>
    </row>
    <row r="45" spans="10:31" ht="15" customHeight="1"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40"/>
    </row>
    <row r="46" spans="10:31" ht="15" customHeight="1"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40"/>
    </row>
    <row r="47" spans="10:31" ht="15" customHeight="1"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40"/>
    </row>
    <row r="48" spans="10:31" ht="15" customHeight="1"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40"/>
    </row>
    <row r="49" spans="10:31" ht="15" customHeight="1"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40"/>
    </row>
    <row r="50" spans="10:31" ht="15" customHeight="1"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40"/>
    </row>
    <row r="51" spans="10:31" ht="15" customHeight="1"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40"/>
    </row>
    <row r="52" spans="10:31" ht="15" customHeight="1"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40"/>
    </row>
    <row r="53" spans="10:31" ht="15" customHeight="1"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40"/>
    </row>
    <row r="54" spans="10:31" ht="15" customHeight="1"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40"/>
    </row>
    <row r="55" spans="10:31" ht="15" customHeight="1"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40"/>
    </row>
    <row r="56" spans="10:31" ht="15" customHeight="1"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40"/>
    </row>
    <row r="57" spans="10:31" ht="15" customHeight="1"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40"/>
    </row>
    <row r="58" spans="10:31" ht="15" customHeight="1"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40"/>
    </row>
    <row r="59" spans="10:31" ht="15" customHeight="1"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40"/>
    </row>
    <row r="60" spans="10:31" ht="15" customHeight="1"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40"/>
    </row>
    <row r="61" spans="10:31" ht="15" customHeight="1"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40"/>
    </row>
    <row r="62" spans="10:31" ht="15" customHeight="1"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40"/>
    </row>
    <row r="63" spans="10:31" ht="15" customHeight="1"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40"/>
    </row>
    <row r="64" spans="10:31" ht="15" customHeight="1"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40"/>
    </row>
    <row r="65" spans="10:31" ht="15" customHeight="1"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40"/>
    </row>
    <row r="66" spans="10:31" ht="15" customHeight="1"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40"/>
    </row>
    <row r="67" spans="10:31" ht="15" customHeight="1"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40"/>
    </row>
    <row r="68" spans="10:31" ht="15" customHeight="1"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40"/>
    </row>
    <row r="69" spans="10:31" ht="15" customHeight="1"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40"/>
    </row>
    <row r="70" spans="10:31" ht="15" customHeight="1"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40"/>
    </row>
    <row r="71" spans="10:31" ht="15" customHeight="1"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40"/>
    </row>
    <row r="72" spans="10:31" ht="15" customHeight="1"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40"/>
    </row>
    <row r="73" spans="10:31" ht="15" customHeight="1"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40"/>
    </row>
    <row r="74" spans="10:31" ht="15" customHeight="1"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40"/>
    </row>
    <row r="75" spans="10:31" ht="15" customHeight="1"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40"/>
    </row>
    <row r="76" spans="10:31" ht="15" customHeight="1"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40"/>
    </row>
    <row r="77" spans="10:31" ht="15" customHeight="1"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40"/>
    </row>
    <row r="78" spans="10:31" ht="15" customHeight="1"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40"/>
    </row>
    <row r="79" spans="10:31" ht="15" customHeight="1"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40"/>
    </row>
    <row r="80" spans="10:31" ht="15" customHeight="1"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40"/>
    </row>
    <row r="81" spans="10:31" ht="15" customHeight="1"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40"/>
    </row>
    <row r="82" spans="10:31" ht="15" customHeight="1"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40"/>
    </row>
    <row r="83" spans="10:31" ht="15" customHeight="1"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40"/>
    </row>
    <row r="84" spans="10:31" ht="15" customHeight="1"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40"/>
    </row>
    <row r="85" spans="10:31" ht="15" customHeight="1"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40"/>
    </row>
    <row r="86" spans="10:31" ht="15" customHeight="1"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40"/>
    </row>
    <row r="87" spans="10:31" ht="15" customHeight="1"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40"/>
    </row>
    <row r="88" spans="10:31" ht="15" customHeight="1"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40"/>
    </row>
    <row r="89" spans="10:31" ht="15" customHeight="1"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40"/>
    </row>
    <row r="90" spans="10:31" ht="15" customHeight="1"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40"/>
    </row>
    <row r="91" spans="10:31" ht="15" customHeight="1"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40"/>
    </row>
    <row r="92" spans="10:31" ht="15" customHeight="1"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40"/>
    </row>
    <row r="93" spans="10:31" ht="15" customHeight="1"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40"/>
    </row>
    <row r="94" spans="10:31" ht="15" customHeight="1"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40"/>
    </row>
    <row r="95" spans="10:31" ht="15" customHeight="1"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40"/>
    </row>
    <row r="96" spans="10:31" ht="15" customHeight="1"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40"/>
    </row>
    <row r="97" spans="10:31" ht="15" customHeight="1"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40"/>
    </row>
    <row r="98" spans="10:31" ht="15" customHeight="1"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40"/>
    </row>
    <row r="99" spans="10:31" ht="15" customHeight="1"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40"/>
    </row>
    <row r="100" spans="10:31" ht="15" customHeight="1"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40"/>
    </row>
    <row r="101" spans="10:31" ht="15" customHeight="1"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40"/>
    </row>
    <row r="102" spans="10:31" ht="15" customHeight="1"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40"/>
    </row>
    <row r="103" spans="10:31" ht="15" customHeight="1"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40"/>
    </row>
    <row r="104" spans="10:31" ht="15" customHeight="1"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40"/>
    </row>
    <row r="105" spans="10:31" ht="15" customHeight="1"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40"/>
    </row>
    <row r="106" spans="10:31" ht="15" customHeight="1"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40"/>
    </row>
    <row r="107" spans="10:31" ht="15" customHeight="1"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40"/>
    </row>
    <row r="108" spans="10:31" ht="15" customHeight="1"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40"/>
    </row>
    <row r="109" spans="10:31" ht="15" customHeight="1"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40"/>
    </row>
    <row r="110" spans="10:31" ht="15" customHeight="1"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40"/>
    </row>
    <row r="111" spans="10:31" ht="15" customHeight="1"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40"/>
    </row>
    <row r="112" spans="10:31" ht="15" customHeight="1"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40"/>
    </row>
    <row r="113" spans="10:31" ht="15" customHeight="1"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40"/>
    </row>
    <row r="114" spans="10:31" ht="15" customHeight="1"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40"/>
    </row>
    <row r="115" spans="10:31" ht="15" customHeight="1"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40"/>
    </row>
    <row r="116" spans="10:31" ht="15" customHeight="1"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40"/>
    </row>
    <row r="117" spans="10:31" ht="15" customHeight="1"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40"/>
    </row>
    <row r="118" spans="10:31" ht="15" customHeight="1"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40"/>
    </row>
    <row r="119" spans="10:31" ht="15" customHeight="1"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40"/>
    </row>
    <row r="120" spans="10:31" ht="15" customHeight="1"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40"/>
    </row>
    <row r="121" spans="10:31" ht="15" customHeight="1"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40"/>
    </row>
    <row r="122" spans="10:31" ht="15" customHeight="1"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40"/>
    </row>
    <row r="123" spans="10:31" ht="15" customHeight="1"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40"/>
    </row>
    <row r="124" spans="10:31" ht="15" customHeight="1"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40"/>
    </row>
    <row r="125" spans="10:31" ht="15" customHeight="1"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40"/>
    </row>
    <row r="126" spans="10:31" ht="15" customHeight="1"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40"/>
    </row>
    <row r="127" spans="10:31" ht="15" customHeight="1"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40"/>
    </row>
    <row r="128" spans="10:31" ht="15" customHeight="1"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40"/>
    </row>
    <row r="129" spans="10:31" ht="15" customHeight="1"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40"/>
    </row>
    <row r="130" spans="10:31" ht="15" customHeight="1"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40"/>
    </row>
    <row r="131" spans="10:31" ht="15" customHeight="1"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40"/>
    </row>
    <row r="132" spans="10:31" ht="15" customHeight="1"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40"/>
    </row>
    <row r="133" spans="10:31" ht="15" customHeight="1"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40"/>
    </row>
    <row r="134" spans="10:31" ht="15" customHeight="1"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40"/>
    </row>
    <row r="135" spans="10:31" ht="15" customHeight="1"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40"/>
    </row>
    <row r="136" spans="10:31" ht="15" customHeight="1"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40"/>
    </row>
    <row r="137" spans="10:31" ht="15" customHeight="1"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40"/>
    </row>
    <row r="138" spans="10:31" ht="15" customHeight="1"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40"/>
    </row>
    <row r="139" spans="10:31" ht="15" customHeight="1"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40"/>
    </row>
    <row r="140" spans="10:31" ht="15" customHeight="1"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40"/>
    </row>
    <row r="141" spans="10:31" ht="15" customHeight="1"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40"/>
    </row>
    <row r="142" spans="10:31" ht="15" customHeight="1"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40"/>
    </row>
    <row r="143" spans="10:31" ht="15" customHeight="1"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40"/>
    </row>
    <row r="144" spans="10:31" ht="15" customHeight="1"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40"/>
    </row>
    <row r="145" spans="10:31" ht="15" customHeight="1"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40"/>
    </row>
    <row r="146" spans="10:31" ht="15" customHeight="1"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40"/>
    </row>
    <row r="147" spans="10:31" ht="15" customHeight="1"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40"/>
    </row>
    <row r="148" spans="10:31" ht="15" customHeight="1"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40"/>
    </row>
    <row r="149" spans="10:31" ht="15" customHeight="1"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40"/>
    </row>
    <row r="150" spans="10:31" ht="15" customHeight="1"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40"/>
    </row>
    <row r="151" spans="10:31" ht="15" customHeight="1"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40"/>
    </row>
    <row r="152" spans="10:31" ht="15" customHeight="1"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40"/>
    </row>
    <row r="153" spans="10:31" ht="15" customHeight="1"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40"/>
    </row>
    <row r="154" spans="10:31" ht="15" customHeight="1"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40"/>
    </row>
    <row r="155" spans="10:31" ht="15" customHeight="1"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40"/>
    </row>
    <row r="156" spans="10:31" ht="15" customHeight="1"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40"/>
    </row>
    <row r="157" spans="10:31" ht="15" customHeight="1"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40"/>
    </row>
    <row r="158" spans="10:31" ht="15" customHeight="1"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40"/>
    </row>
    <row r="159" spans="10:31" ht="15" customHeight="1"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40"/>
    </row>
    <row r="160" spans="10:31" ht="15" customHeight="1"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40"/>
    </row>
    <row r="161" spans="10:31" ht="15" customHeight="1"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40"/>
    </row>
    <row r="162" spans="10:31" ht="15" customHeight="1"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40"/>
    </row>
    <row r="163" spans="10:31" ht="15" customHeight="1"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40"/>
    </row>
    <row r="164" spans="10:31" ht="15" customHeight="1"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40"/>
    </row>
    <row r="165" spans="10:31" ht="15" customHeight="1"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40"/>
    </row>
    <row r="166" spans="10:31" ht="15" customHeight="1"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40"/>
    </row>
    <row r="167" spans="10:31" ht="15" customHeight="1"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40"/>
    </row>
    <row r="168" spans="10:31" ht="15" customHeight="1"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40"/>
    </row>
    <row r="169" spans="10:31" ht="15" customHeight="1"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40"/>
    </row>
    <row r="170" spans="10:31" ht="15" customHeight="1"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40"/>
    </row>
    <row r="171" spans="10:31" ht="15" customHeight="1"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40"/>
    </row>
    <row r="172" spans="10:31" ht="15" customHeight="1"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40"/>
    </row>
    <row r="173" spans="10:31" ht="15" customHeight="1"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40"/>
    </row>
    <row r="174" spans="10:31" ht="15" customHeight="1"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40"/>
    </row>
    <row r="175" spans="10:16" ht="15" customHeight="1">
      <c r="J175" s="39"/>
      <c r="K175" s="39"/>
      <c r="L175" s="39"/>
      <c r="M175" s="39"/>
      <c r="N175" s="39"/>
      <c r="O175" s="39"/>
      <c r="P175" s="39"/>
    </row>
    <row r="176" spans="10:16" ht="15" customHeight="1">
      <c r="J176" s="39"/>
      <c r="K176" s="39"/>
      <c r="L176" s="39"/>
      <c r="M176" s="39"/>
      <c r="N176" s="39"/>
      <c r="O176" s="39"/>
      <c r="P176" s="39"/>
    </row>
    <row r="177" spans="10:16" ht="15" customHeight="1">
      <c r="J177" s="39"/>
      <c r="K177" s="39"/>
      <c r="L177" s="39"/>
      <c r="M177" s="39"/>
      <c r="N177" s="39"/>
      <c r="O177" s="39"/>
      <c r="P177" s="39"/>
    </row>
    <row r="178" spans="10:16" ht="15" customHeight="1">
      <c r="J178" s="39"/>
      <c r="K178" s="39"/>
      <c r="L178" s="39"/>
      <c r="M178" s="39"/>
      <c r="N178" s="39"/>
      <c r="O178" s="39"/>
      <c r="P178" s="39"/>
    </row>
  </sheetData>
  <mergeCells count="18">
    <mergeCell ref="Q6:Q13"/>
    <mergeCell ref="A6:E9"/>
    <mergeCell ref="B10:E13"/>
    <mergeCell ref="F6:F13"/>
    <mergeCell ref="G6:G13"/>
    <mergeCell ref="J8:P8"/>
    <mergeCell ref="J11:P11"/>
    <mergeCell ref="J4:P4"/>
    <mergeCell ref="A5:E5"/>
    <mergeCell ref="A4:E4"/>
    <mergeCell ref="H6:H13"/>
    <mergeCell ref="I6:I13"/>
    <mergeCell ref="H20:I20"/>
    <mergeCell ref="L20:N20"/>
    <mergeCell ref="D30:D32"/>
    <mergeCell ref="D37:D39"/>
    <mergeCell ref="E20:E21"/>
    <mergeCell ref="F20:G20"/>
  </mergeCells>
  <printOptions horizontalCentered="1"/>
  <pageMargins left="0.31496062992125984" right="0.4724409448818898" top="0.5118110236220472" bottom="0.5118110236220472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2011-02-02T10:18:33Z</cp:lastPrinted>
  <dcterms:created xsi:type="dcterms:W3CDTF">2010-11-03T15:19:22Z</dcterms:created>
  <dcterms:modified xsi:type="dcterms:W3CDTF">2011-02-02T10:18:39Z</dcterms:modified>
  <cp:category/>
  <cp:version/>
  <cp:contentType/>
  <cp:contentStatus/>
</cp:coreProperties>
</file>