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330" windowWidth="10695" windowHeight="8835" activeTab="0"/>
  </bookViews>
  <sheets>
    <sheet name="uzasadnienie" sheetId="1" r:id="rId1"/>
  </sheets>
  <definedNames>
    <definedName name="_xlnm.Print_Area" localSheetId="0">'uzasadnienie'!$A$1:$B$542</definedName>
  </definedNames>
  <calcPr fullCalcOnLoad="1"/>
</workbook>
</file>

<file path=xl/sharedStrings.xml><?xml version="1.0" encoding="utf-8"?>
<sst xmlns="http://schemas.openxmlformats.org/spreadsheetml/2006/main" count="360" uniqueCount="117">
  <si>
    <t>U Z A S A D N I E N I E</t>
  </si>
  <si>
    <t>PREZYDENTA MIASTA POZNANIA</t>
  </si>
  <si>
    <t>Dokonuje się zmian zgodnie z wnioskami jednostek organizacyjnych Miasta.</t>
  </si>
  <si>
    <t>zmniejsza się o kwotę:</t>
  </si>
  <si>
    <t>§ 4270 Zakup usług remontowych</t>
  </si>
  <si>
    <t>zwiększa się o kwotę:</t>
  </si>
  <si>
    <t>§ 4300 Zakup usług pozostałych</t>
  </si>
  <si>
    <t>§ 4260 Zakup energii</t>
  </si>
  <si>
    <t>§ 4210 Zakup materiałów i wyposażenia</t>
  </si>
  <si>
    <t>§ 4430 Różne opłaty i składki</t>
  </si>
  <si>
    <t>WYDATKI WŁASNE GMINY</t>
  </si>
  <si>
    <t>§ 3020 Nagrody i  wydatki osobowe nie zaliczone do wynagrodzeń</t>
  </si>
  <si>
    <t>Dział 852 Pomoc społeczna</t>
  </si>
  <si>
    <t>§ 4410 Podróże krajowe służbowe</t>
  </si>
  <si>
    <t xml:space="preserve">                   na rok 2004 oraz ustalenia planu finansowego zadań zleconych </t>
  </si>
  <si>
    <t xml:space="preserve">                   z zakresu administracji rządowej na rok 2004.</t>
  </si>
  <si>
    <t>WYDATKI "ZLECONE GMINOM"</t>
  </si>
  <si>
    <t>WYDATKI WŁASNE POWIATU</t>
  </si>
  <si>
    <t>Rozdz. 85203 Ośrodki wsparcia</t>
  </si>
  <si>
    <t>Dział 854 Edukacyjna opieka wychowawcza</t>
  </si>
  <si>
    <t>§ 3240 Stypendia oraz inne formy pomocy dla uczniów</t>
  </si>
  <si>
    <t>§ 4240 Zakup pomocy naukowych, dydaktycznych i książek</t>
  </si>
  <si>
    <t>Dział 700 Gospodarka mieszkaniowa</t>
  </si>
  <si>
    <t>Rozdz. 70005 Gospodarka gruntami i nieruchomościami</t>
  </si>
  <si>
    <t>§ 4280 Zakup usług zdrowotnych</t>
  </si>
  <si>
    <t>Dział 750 Administracja publiczna</t>
  </si>
  <si>
    <t>Rozdz. 75023 Urzędy gmin (miast i miast na prawach powiatu)</t>
  </si>
  <si>
    <t>§ 4410 Podróże służbowe krajowe</t>
  </si>
  <si>
    <t>§ 4590 Kary i odszkodowania na rzecz osób fizycznych</t>
  </si>
  <si>
    <t xml:space="preserve">Środki przenosi się  w celu dostosowania planu finansowego w stosunku do rzeczywiście ponoszonych wydatków przy realizacji zadań. </t>
  </si>
  <si>
    <t>Rozdz. 85201 Placówki opiekuńczo - wychowawcze</t>
  </si>
  <si>
    <t>§ 4440 Odpisy na zakładowy fundusz świadczeń socjalnych</t>
  </si>
  <si>
    <t>§ 4220 Zakup środków żywności</t>
  </si>
  <si>
    <t>Dział 851 Ochrona zdrowia</t>
  </si>
  <si>
    <t>Rozdz. 85154 Przeciwdziałanie alkoholizmowi</t>
  </si>
  <si>
    <t>Rozdz. 85202 Domy pomocy społecznej</t>
  </si>
  <si>
    <t>Rozdz. 85195 Pozostała działalność</t>
  </si>
  <si>
    <t>§ 4300 Zakup usłu pozostałych</t>
  </si>
  <si>
    <t>Dział 853 Pozostałe zadania w zakresie polityki społecznej</t>
  </si>
  <si>
    <t>Rozdz. 85305 Żłobki</t>
  </si>
  <si>
    <t>§ 4480 Podatek od nieruchomości</t>
  </si>
  <si>
    <t>Dział 801 Oświata i wychowanie</t>
  </si>
  <si>
    <t>Rozdz. 80132  Szkoły artystyczne</t>
  </si>
  <si>
    <t>Rozdz. 80102  Szkoły podstawowe specjalne</t>
  </si>
  <si>
    <t>§ 3020 Nagrody i wydatki osobowe niezaliczone do wynagrodzeń</t>
  </si>
  <si>
    <t>WYDATKI "ZLECONE POWIATOWI"</t>
  </si>
  <si>
    <t>Rozdz. 80111  Gimnazja specjalne</t>
  </si>
  <si>
    <t>Rozdz. 85403  Specjalne ośrodki szkolno-wychowawcze</t>
  </si>
  <si>
    <t>§ 4130 Składki na ubezpieczenia zdrowotne</t>
  </si>
  <si>
    <t>§ 4420 Podróże służbowe zagraniczne</t>
  </si>
  <si>
    <t>Dział 925 Ogrody botaniczne i zoologiczne oraz naturalne obszary i obiekty</t>
  </si>
  <si>
    <t xml:space="preserve">                 chronionej przyrody</t>
  </si>
  <si>
    <t>Rozdz. 92504 Ogrody botaniczne i zoologiczne</t>
  </si>
  <si>
    <t>Dział 754 Bezpieczeństwo publiczne i ochrona przeciwpożarowa</t>
  </si>
  <si>
    <t xml:space="preserve">Środki przenosi się zgodnie z Zarządzeniem Nr 6/04 z dnia 29.10.2004r. Kierownika Dziennego Domu Pomocy Społecznej Nr 3, Zarządzeniem Nr 7/2004 z dnia 27.10.2004r. Kierownika Dziennego Domu Pomocy Społecznej Nr 5, Zarządzeniem Nr 6/2004 z dnia 20.10.2004r., Nr 7/2004 z dnia 22.10.2004r, Nr 8/2004 z dnia 9.11.2004r. Kierownika Dziennego ośrodka Adaptacyjnego Nr 1, Zarządzeniem Nr 04/2004 z dnia 8.11.2004r. Kierownika Ośrodka dla Bezdomnych Nr 1 w celu dostosowania planu finansowego w stosunku do rzeczywiście ponoszonych wydatków przy realizacji zadań. </t>
  </si>
  <si>
    <r>
      <t>w sprawie</t>
    </r>
    <r>
      <rPr>
        <sz val="11"/>
        <rFont val="Arial CE"/>
        <family val="2"/>
      </rPr>
      <t xml:space="preserve">:  szczegółowego podziału dochodów i wydatków miasta Poznania  </t>
    </r>
  </si>
  <si>
    <t>Środki przenosi się zgodnie z Zarządzeniami Nr: 14/2004  z dnia 08 października 2004 r. i 16/2004 z dnia 05 listopada 2004 r. Dyrektora Ogrodu Zoologicznego w Poznaniu oraz P31/2004 z dnia 29 października 2004 r. Dyrektora Palmiarni Poznańskiej w celu dostosowania planów finansowych jednostek do rzeczywiście ponoszonych wydatków przy realizacji zadań.</t>
  </si>
  <si>
    <t>Rozdz. 80121  Licea specjalne</t>
  </si>
  <si>
    <t>Rozdz. 80146  Dokształcanie i doskonalenie  nauczycieli</t>
  </si>
  <si>
    <t>Rozdz. 85406  Poradnie psychologiczno-pedagogiczne,
                      w tym poradnie specjalistyczne</t>
  </si>
  <si>
    <t>Rozdz. 85446  Dokształcanie i doskonalenie  nauczycieli</t>
  </si>
  <si>
    <t>Rozdz. 85417  Szkolne schroniska młodzieżowe</t>
  </si>
  <si>
    <t>Rozdz. 75011 Urzędy wojewódzkie</t>
  </si>
  <si>
    <t xml:space="preserve">Środki przenosi się zgodnie z pismem Nr Or.III/1414-40/04 z dnia 8 października 2004 r. Wydziału organizacyjnego, w celu dostosowania planu finansowego w stosunku do rzeczywiście ponoszonych wydatków przy realizacji zadań. </t>
  </si>
  <si>
    <t>Rozdz. 85407  Placówki wychowania pozaszkolnego</t>
  </si>
  <si>
    <t xml:space="preserve">Środki przenosi się zgodnie z pismem Wydziału Oświaty Ow.PB.-3014/32/04 z dnia 27 października 2004 r. w celu dostosowania planu finansowego do rzeczywiście ponoszonych wydatków przy realizacji zadań. </t>
  </si>
  <si>
    <t>Rozdz. 75414 Obrona cywilna</t>
  </si>
  <si>
    <t xml:space="preserve">Środki przenosi się zgodnie z pismem Nr OC.II/3014-43/04 z dnia 8 listopada 2004 r. Miejskiego Inspektoratu Ochrony Cywilnej, w celu dostosowania planu finansowego w stosunku do rzeczywiście ponoszonych wydatków przy realizacji zadań. </t>
  </si>
  <si>
    <t>§ 4590 Pozostałe podatki na rzecz budżetu państwa</t>
  </si>
  <si>
    <t>§ 4610 Koszt postępowania sądowego i prokuratorskiego</t>
  </si>
  <si>
    <t>Środki przenosi się zgodnie z Zarządzeniami Dyrektora Wydziału Zdrowia i Spraw Społecznych: Nr 7/2004  z dnia 19 października 2004 r. i Nr 9/2004 z dnia 23 listopada 2004 r.,  w celu dostosowania planu finansowego w stosunku do rzeczywiście ponoszonych wydatków przy realizacji zadań.</t>
  </si>
  <si>
    <t>z dnia 30 listopada 2004 r.</t>
  </si>
  <si>
    <t xml:space="preserve">Środki przenosi się zgodnie z pismem z dnia 29.11.2004r. Wydziału Zdrowia i Spraw Społecznych o w celu dostosowania planu finansowego do rzeczywiście ponoszonych wydatków przy realizacji zadań. </t>
  </si>
  <si>
    <t>Rozdz. 85226 Ośrodki adopcyjno - opiekuńcze</t>
  </si>
  <si>
    <t xml:space="preserve">Środki przenosi się zgodnie z pismem z dnia 29.11.2004r. Wydziału Zdrowia i Spraw Społecznych, Zarządzeniem nr 1 z dnia 5.11.2004r. oraz Zarządzeniem nr 2 z dnia 8.11.2004r. Dyrektora Domu Dziecka nr 1; Decyzją nr 2/2004 z dnia 19.10.2004 r. Dyrektora Domu Dziecka nr 2; Zarządzeniem Nr 4 z dnia 10.11.2004r. Dyrektora Pogotowia Opiekuńczego; Zarządzeniem Nr 2/2004 z dnia 18.10.2004r. oraz Zarządzeniem Nr 3/2004 z dnia 18.11.2004r. Dyrektora Klubu Profilaktyczno - Wychowawczego w celu dostosowania planu finansowego do rzeczywiście ponoszonych wydatków przy realizacji zadań. </t>
  </si>
  <si>
    <t>Rozdz. 85214 Zasiłki i pomoc w naturze</t>
  </si>
  <si>
    <t>§ 3110 Świadczenia społeczne</t>
  </si>
  <si>
    <t>,</t>
  </si>
  <si>
    <t xml:space="preserve">Środki przenosi się zgodnie z pismami: Nr Or.III/1414-40/04 z dnia 8 października 2004 r. oraz Nr Or.VI/3016-03/04 z dnia 16 listopada 2004 r. Wydziału Organizacyjnego,Nr KRS.III/3014-10/04 z dnia 11 październia 2004 r. Biura Kształtowania Relacji Społecznych,Nr Fn.V/0114-43/04 z dnia 14 października 2004, Nr Fn.III/3014-14/04 z dnia 16 listopada 2004 r.r. Wydziału Finansowego  i Nr Km.I/3014-11/04 zdnia 25 listopada 2004 r. Wydziału Komunikacji w celu dostosowania planu finansowego w stosunku do rzeczywiście ponoszonych wydatków przy realizacji zadań. </t>
  </si>
  <si>
    <t>§ 3030 Różne wydatki na rzecz osób fizycznych</t>
  </si>
  <si>
    <t>Rozdz. 85295 Pozostała działalność</t>
  </si>
  <si>
    <t xml:space="preserve">Środki przenosi się zgodnie z Zarządzeniem nr 35/2004 z dnia 25.11.2004r. Dyrektora Miejskiego Ośrodka Pomocy Rodznie w celu dostosowania planu finansowego do rzeczywiście ponoszonych wydatków przy realizacji zadań. </t>
  </si>
  <si>
    <t>Rozdz. 85212 Świadczenia rodzinneoraz składki na ubezpieczenie emerytalne i rentowe z ubezpieczenia społecznego</t>
  </si>
  <si>
    <t xml:space="preserve">Środki przenosi się zgodnie z Zarządzeniem Nr 36/2004 z dnia 25.11.2004r. Dyrektora Miejskiego Ośrodka Pomocy Rodzinie w celu dostosowania planu finansowego w stosunku do rzeczywiście ponoszonych wydatków przy realizacji zadań. </t>
  </si>
  <si>
    <t>Rozdz. 85219 Ośrodki pomocy społecznej</t>
  </si>
  <si>
    <t xml:space="preserve">Środki przenosi się zgodnie z Zarządzeniem Nr 37/2004 z dnia 25.11.2004r. Dyrektora Miejskiego Ośrodka Pomocy Rodzinie w celu dostosowania planu finansowego w stosunku do rzeczywiście ponoszonych wydatków przy realizacji zadań. </t>
  </si>
  <si>
    <t xml:space="preserve">Środki przenosi się zgodnie z Zarządzeniem Nr 40/2004 z dnia 29.11.2004r. Dyrektora Miejskiego Ośrodka Pomocy Rodzinie w celu dostosowania planu finansowego w stosunku do rzeczywiście ponoszonych wydatków przy realizacji zadań. </t>
  </si>
  <si>
    <t xml:space="preserve">Środki przenosi się zgodnie z Zarządzeniami: Nr 6/2004 z dnia 26 października 2004r. Dyrektora Poznańskiej Ogólnokształcącej Szkoły Muzycznej I stopnia Nr 1, Nr 15/2004 z dnia 4 października 2004 r. oraz Nr 8/2004 z dnia 18 listopada 2004 r. i Nr 16/2004 z dnia 25 października 2004 r. Dyrektora Poznańskiej Ogólnokształcącej Szkoły Muzycznej II stopnia, Nr 14/2004 z dnia 16 listopada 2004 r. Dyrektora Poznańskiej Szkoły Chóralnej Jerzego Kurczewskiego, w celu dostosowania planu finansowego do rzeczywiście ponoszonych wydatków przy realizacji zadań. </t>
  </si>
  <si>
    <t xml:space="preserve">Środki przenosi się zgodnie z pismami Wydziału Oświaty: Ow.PB.-3014/32/04 z dnia 27 października 2004 r. oraz Ow.PB.-3014/37/04 z dnia 26 listopada 2004 r. w celu dostosowania planu finansowego do rzeczywiście ponoszonych wydatków przy realizacji zadań. </t>
  </si>
  <si>
    <t>Rozdz. 80134  Szkoły zawodowe specjalne</t>
  </si>
  <si>
    <t xml:space="preserve">Środki przenosi się zgodnie z pismem Wydziału Oświaty Ow.PB.-3014/37/04 z dnia 26 listopada 2004 r. w celu dostosowania planu finansowego do rzeczywiście ponoszonych wydatków przy realizacji zadań. </t>
  </si>
  <si>
    <t>Rozdz. 80140  Centra kształcenia ustawicznego i praktycznego oraz ośrodki
                         dokształcania zawodowego</t>
  </si>
  <si>
    <t>Rozdz. 85401 Świetlice szkolne</t>
  </si>
  <si>
    <t xml:space="preserve">Środki przenosi się zgodnie z pismami Wydziału Oświaty Ow.PB.-3014/32/04 z dnia 27 października 2004 r. oraz Ow.PB.-3014/37/04 z dnia 26 listopada 2004 r., w celu dostosowania planu finansowego do rzeczywiście ponoszonych wydatków przy realizacji zadań. </t>
  </si>
  <si>
    <t>Rozdz. 80105  Przedszkola specjalne</t>
  </si>
  <si>
    <t xml:space="preserve">Środki przenosi się zgodnie z Zarządzeniem Nr 10/04 z dnia 20.10.2004r. oraz Zarządzeniem Nr 13/04 z dnia 18.11.2004r. Dyrektora Domu Pomocy Społecznej przy ul. Bukowskiej, Zarządzeniem Nr 19/2004 z dnia 26.11.2004r. Dyrektora Domu Pomocy Społecznej przy ul. Konarskiego, Decyzją Nr 5/2004 z dnia 10.11.2004r. Dyrektora Domu Pomocy Społecznej przy ul. Niedziałkowskiego w celu dostosowania planu finansowego do rzeczywiście ponoszonych wydatków przy realizacji zadań. </t>
  </si>
  <si>
    <t xml:space="preserve">Środki przenosi się zgodnie z Zarządzeniem Nr 8/2004 z dnia 25.11.2004r. Kierownika Żłobka Nr 1 "Krecik", Zarządzeniem Nr 9/2004 z dnia 5.11.2004r. Kierownika Żłobka Nr 2 "Kalinka", Zarządzeniem Nr 7/2004 z dnia 21.10.2004r. Kierownika Żłobka Nr 3 "Czerwony Kapturek", Zarządzeniem Nr 13/2004 z dnia 16.11.2004r. Kierownika Żłobka Nr 4 "Miś Uszatek" w celu dostosowania planu finansowego w stosunku do rzeczywiście ponoszonych wydatków przy realizacji zadań. </t>
  </si>
  <si>
    <t xml:space="preserve">Środki przenosi się zgodnie z pismem Młodzieżowego Domu Kultury Nr 1 znak MDK1-3033-2-04 z dnia 11 października 2004 r.,  Zarządzeniem Nr 2/2004  z dnia 14 października 2004 r. oraz Zarządzeniem Nr 3/2004 z dnia 30 listopada 2004 r. Dyrektora MDK Nr 3, w celu dostosowania planu finansowego do rzeczywiście ponoszonych wydatków przy realizacji zadań. </t>
  </si>
  <si>
    <t>§ 3030 Zakup Różne wydatki na rzecz osób fizycznych</t>
  </si>
  <si>
    <t xml:space="preserve">Środki przenosi się zgodnie z: Zarządzeniem Nr 04/2004 z dnia 8.11.2004r. Kierownika Ośrodka dla Bezdomnych Nr 1, Zarządzeniem Nr 38/2004 z dnia 25.11.2004r. Dyrektora Miejskiego Ośrodka Pomocy Rodzinie, pismem Wydziału Oświaty znak Ow.PB.-3014/32/04 z dnia 27.10.2004 r. oraz Ow.PB.-3014/37/04 z dnia 26.11.2004 r., Zarządzeniem Nr 11/2004 Dyrektora Wydziału Zdrowia i Spraw Społecznych z dnia 30.12.2004 r., w celu dostosowania planu finansowego w stosunku do rzeczywiście ponoszonych wydatków przy realizacji zadań. </t>
  </si>
  <si>
    <t>Rozdz. 85321 Zespoły do spraw orzekania o stopniu niepełnosprawności</t>
  </si>
  <si>
    <t xml:space="preserve">Środki przenosi się zgodnie z pismem z dnia 29.11.2004r. Miejskiego Zespołu do Spraw Orzekania o Niepełnosprawności (znak, MZON-I.3028/16/2004) w celu dostosowania planu finansowego w stosunku do rzeczywiście ponoszonych wydatków przy realizacji zadań. </t>
  </si>
  <si>
    <t>Dział 900 Gospodarka komunalna i ochrona środowiska</t>
  </si>
  <si>
    <t>Rozdz. 9004 Utrzymanie zieleni w miastach i gminach</t>
  </si>
  <si>
    <t>§ 4500 Pozostałe podatki na rzecz budzetów jednostek samorządu terytorialnego</t>
  </si>
  <si>
    <t>§ 4410 Podróże słuowe krajowe</t>
  </si>
  <si>
    <t>Środki przenosi się zgodnie z Zarządzeniem Nr ZZM.OA/0161-52/04/2004  z dnia 29 listopada 2004 r. Dyrektora Zarządu Zieleni Miejskiej w celu dostosowania planów finansowych jednostek do rzeczywiście ponoszonych wydatków przy realizacji zadań.</t>
  </si>
  <si>
    <t>do zarządzenia Nr 785/2004/P</t>
  </si>
  <si>
    <t>Dział 754 Bezpieczeństwo publiczne</t>
  </si>
  <si>
    <t>Rozdz. 75412 Ochotnicze straże pożarne</t>
  </si>
  <si>
    <t>Rozdz. 75022 Rady gmin (miast i miast na prawach powiatu)</t>
  </si>
  <si>
    <t>§ 4420 Podróże słuzbowe zagraniczne</t>
  </si>
  <si>
    <t>Środki przenosi się pismem Nr RM.II.1/0114/249/04 z dnia 30 listopada 2004 r. Biura Rady Miasta Poznania w celu dostosowania planu finansowego w stosunku do rzeczywiście ponoszonych wydatków przy realizacji  zadań.</t>
  </si>
  <si>
    <t>Rozdz. 75411 Komendy powiatowe Państwowej Straży Pożarnej</t>
  </si>
  <si>
    <t>§ 4250 Zakup sprzętu i uzbrojenia</t>
  </si>
  <si>
    <t xml:space="preserve">Środki przenosi się zgodnie z pismami Komendy Miejskiej Państwowej Straży Pożarnej  RF-313/45/2004  z dnia 30 listopada 2004r.  w celu dostosowania planu finansowego do rzeczywiście ponoszonych wydatków przy realizacji zadań. </t>
  </si>
  <si>
    <t>§ 4520 Opłaty na rzecz budżetów jednostek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</si>
</sst>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b/>
      <sz val="11"/>
      <color indexed="10"/>
      <name val="Arial CE"/>
      <family val="2"/>
    </font>
    <font>
      <sz val="11"/>
      <color indexed="10"/>
      <name val="Arial CE"/>
      <family val="2"/>
    </font>
    <font>
      <sz val="10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u val="single"/>
      <sz val="11"/>
      <color indexed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u val="single"/>
      <sz val="11"/>
      <name val="Arial CE"/>
      <family val="2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justify" wrapText="1"/>
    </xf>
    <xf numFmtId="4" fontId="2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vertical="top"/>
    </xf>
    <xf numFmtId="4" fontId="3" fillId="0" borderId="0" xfId="0" applyNumberFormat="1" applyFont="1" applyAlignment="1">
      <alignment/>
    </xf>
    <xf numFmtId="0" fontId="1" fillId="0" borderId="0" xfId="0" applyFont="1" applyFill="1" applyAlignment="1">
      <alignment horizontal="justify" wrapText="1"/>
    </xf>
    <xf numFmtId="0" fontId="6" fillId="0" borderId="0" xfId="0" applyFont="1" applyAlignment="1">
      <alignment horizontal="justify" wrapText="1"/>
    </xf>
    <xf numFmtId="4" fontId="6" fillId="0" borderId="0" xfId="0" applyNumberFormat="1" applyFont="1" applyAlignment="1">
      <alignment horizontal="right" vertical="top" wrapText="1"/>
    </xf>
    <xf numFmtId="0" fontId="4" fillId="0" borderId="0" xfId="0" applyFont="1" applyFill="1" applyAlignment="1">
      <alignment/>
    </xf>
    <xf numFmtId="0" fontId="7" fillId="0" borderId="0" xfId="0" applyFont="1" applyAlignment="1">
      <alignment horizontal="justify" wrapText="1"/>
    </xf>
    <xf numFmtId="4" fontId="7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/>
    </xf>
    <xf numFmtId="4" fontId="8" fillId="0" borderId="0" xfId="0" applyNumberFormat="1" applyFont="1" applyFill="1" applyAlignment="1">
      <alignment horizontal="right" vertical="top" wrapText="1"/>
    </xf>
    <xf numFmtId="0" fontId="9" fillId="0" borderId="0" xfId="0" applyFont="1" applyAlignment="1">
      <alignment horizontal="justify" wrapText="1"/>
    </xf>
    <xf numFmtId="4" fontId="9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justify" wrapText="1"/>
    </xf>
    <xf numFmtId="4" fontId="7" fillId="0" borderId="0" xfId="0" applyNumberFormat="1" applyFont="1" applyAlignment="1">
      <alignment horizontal="right" vertical="top" wrapText="1"/>
    </xf>
    <xf numFmtId="0" fontId="8" fillId="0" borderId="0" xfId="0" applyFont="1" applyFill="1" applyAlignment="1">
      <alignment horizontal="justify" wrapText="1"/>
    </xf>
    <xf numFmtId="0" fontId="10" fillId="0" borderId="0" xfId="0" applyFont="1" applyAlignment="1">
      <alignment/>
    </xf>
    <xf numFmtId="0" fontId="8" fillId="0" borderId="0" xfId="0" applyFont="1" applyAlignment="1" quotePrefix="1">
      <alignment horizontal="justify" wrapText="1"/>
    </xf>
    <xf numFmtId="4" fontId="8" fillId="0" borderId="0" xfId="0" applyNumberFormat="1" applyFont="1" applyAlignment="1">
      <alignment horizontal="right" vertical="top" wrapText="1"/>
    </xf>
    <xf numFmtId="4" fontId="9" fillId="0" borderId="0" xfId="0" applyNumberFormat="1" applyFont="1" applyAlignment="1">
      <alignment horizontal="right" vertical="top" wrapText="1"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 quotePrefix="1">
      <alignment horizontal="center" vertical="top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vertical="top"/>
    </xf>
    <xf numFmtId="0" fontId="8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7" fillId="0" borderId="0" xfId="0" applyFont="1" applyFill="1" applyAlignment="1">
      <alignment horizontal="justify" wrapText="1"/>
    </xf>
    <xf numFmtId="0" fontId="9" fillId="0" borderId="0" xfId="0" applyFont="1" applyFill="1" applyAlignment="1">
      <alignment horizontal="justify" wrapText="1"/>
    </xf>
    <xf numFmtId="0" fontId="8" fillId="0" borderId="0" xfId="0" applyFont="1" applyFill="1" applyAlignment="1">
      <alignment/>
    </xf>
    <xf numFmtId="4" fontId="9" fillId="0" borderId="0" xfId="0" applyNumberFormat="1" applyFont="1" applyAlignment="1">
      <alignment vertical="top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 vertical="top" wrapText="1"/>
    </xf>
    <xf numFmtId="4" fontId="7" fillId="0" borderId="0" xfId="0" applyNumberFormat="1" applyFont="1" applyAlignment="1">
      <alignment horizontal="center" vertical="top" wrapText="1"/>
    </xf>
    <xf numFmtId="4" fontId="7" fillId="0" borderId="0" xfId="0" applyNumberFormat="1" applyFont="1" applyAlignment="1" quotePrefix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3"/>
  <sheetViews>
    <sheetView tabSelected="1" zoomScaleSheetLayoutView="75" workbookViewId="0" topLeftCell="A1">
      <selection activeCell="A6" sqref="A6"/>
    </sheetView>
  </sheetViews>
  <sheetFormatPr defaultColWidth="9.00390625" defaultRowHeight="12.75"/>
  <cols>
    <col min="1" max="1" width="78.375" style="4" customWidth="1"/>
    <col min="2" max="2" width="15.25390625" style="4" customWidth="1"/>
    <col min="3" max="16384" width="9.125" style="4" customWidth="1"/>
  </cols>
  <sheetData>
    <row r="1" spans="1:2" s="9" customFormat="1" ht="15">
      <c r="A1" s="55" t="s">
        <v>0</v>
      </c>
      <c r="B1" s="55"/>
    </row>
    <row r="2" spans="1:2" s="9" customFormat="1" ht="15">
      <c r="A2" s="56" t="s">
        <v>107</v>
      </c>
      <c r="B2" s="55"/>
    </row>
    <row r="3" spans="1:2" s="9" customFormat="1" ht="15">
      <c r="A3" s="56" t="s">
        <v>1</v>
      </c>
      <c r="B3" s="55"/>
    </row>
    <row r="4" spans="1:2" s="9" customFormat="1" ht="15">
      <c r="A4" s="55" t="s">
        <v>71</v>
      </c>
      <c r="B4" s="55"/>
    </row>
    <row r="5" spans="1:2" s="9" customFormat="1" ht="15">
      <c r="A5" s="35"/>
      <c r="B5" s="34"/>
    </row>
    <row r="6" spans="1:2" s="9" customFormat="1" ht="15">
      <c r="A6" s="36"/>
      <c r="B6" s="37"/>
    </row>
    <row r="7" spans="1:2" s="9" customFormat="1" ht="15.75">
      <c r="A7" s="57" t="s">
        <v>55</v>
      </c>
      <c r="B7" s="57"/>
    </row>
    <row r="8" spans="1:2" s="9" customFormat="1" ht="15">
      <c r="A8" s="58" t="s">
        <v>14</v>
      </c>
      <c r="B8" s="58"/>
    </row>
    <row r="9" spans="1:2" s="9" customFormat="1" ht="15">
      <c r="A9" s="38" t="s">
        <v>15</v>
      </c>
      <c r="B9" s="39"/>
    </row>
    <row r="10" spans="1:2" s="9" customFormat="1" ht="15">
      <c r="A10" s="40"/>
      <c r="B10" s="37"/>
    </row>
    <row r="11" spans="1:2" s="9" customFormat="1" ht="15">
      <c r="A11" s="10"/>
      <c r="B11" s="11"/>
    </row>
    <row r="12" spans="1:2" s="41" customFormat="1" ht="15">
      <c r="A12" s="54" t="s">
        <v>2</v>
      </c>
      <c r="B12" s="54"/>
    </row>
    <row r="15" spans="1:2" s="31" customFormat="1" ht="15.75">
      <c r="A15" s="17" t="s">
        <v>10</v>
      </c>
      <c r="B15" s="24">
        <f>B197</f>
        <v>0</v>
      </c>
    </row>
    <row r="16" spans="1:2" ht="14.25">
      <c r="A16" s="2"/>
      <c r="B16" s="3"/>
    </row>
    <row r="17" spans="1:2" s="31" customFormat="1" ht="15.75">
      <c r="A17" s="17" t="s">
        <v>25</v>
      </c>
      <c r="B17" s="24">
        <f>B19+B29</f>
        <v>0</v>
      </c>
    </row>
    <row r="18" spans="1:2" s="31" customFormat="1" ht="15.75">
      <c r="A18" s="17"/>
      <c r="B18" s="24"/>
    </row>
    <row r="19" spans="1:2" s="31" customFormat="1" ht="15.75">
      <c r="A19" s="17" t="s">
        <v>110</v>
      </c>
      <c r="B19" s="24">
        <f>B21+B24</f>
        <v>0</v>
      </c>
    </row>
    <row r="20" spans="1:2" s="31" customFormat="1" ht="15.75">
      <c r="A20" s="32"/>
      <c r="B20" s="32"/>
    </row>
    <row r="21" spans="1:2" s="31" customFormat="1" ht="15.75">
      <c r="A21" s="21" t="s">
        <v>3</v>
      </c>
      <c r="B21" s="29">
        <f>B22</f>
        <v>-10000</v>
      </c>
    </row>
    <row r="22" spans="1:2" s="31" customFormat="1" ht="15.75">
      <c r="A22" s="23" t="s">
        <v>111</v>
      </c>
      <c r="B22" s="28">
        <v>-10000</v>
      </c>
    </row>
    <row r="23" spans="1:2" s="31" customFormat="1" ht="15.75">
      <c r="A23" s="17"/>
      <c r="B23" s="24"/>
    </row>
    <row r="24" spans="1:2" s="31" customFormat="1" ht="15.75">
      <c r="A24" s="21" t="s">
        <v>5</v>
      </c>
      <c r="B24" s="29">
        <f>B25+B26+B27+B28</f>
        <v>10000</v>
      </c>
    </row>
    <row r="25" spans="1:2" s="31" customFormat="1" ht="15.75">
      <c r="A25" s="23" t="s">
        <v>27</v>
      </c>
      <c r="B25" s="28">
        <v>10000</v>
      </c>
    </row>
    <row r="26" spans="1:2" s="31" customFormat="1" ht="15.75">
      <c r="A26" s="17"/>
      <c r="B26" s="24"/>
    </row>
    <row r="27" spans="1:2" s="31" customFormat="1" ht="43.5">
      <c r="A27" s="23" t="s">
        <v>112</v>
      </c>
      <c r="B27" s="24"/>
    </row>
    <row r="28" spans="1:2" s="6" customFormat="1" ht="15.75">
      <c r="A28" s="14"/>
      <c r="B28" s="15"/>
    </row>
    <row r="29" spans="1:2" s="31" customFormat="1" ht="15.75">
      <c r="A29" s="17" t="s">
        <v>26</v>
      </c>
      <c r="B29" s="24">
        <f>B31+B38</f>
        <v>0</v>
      </c>
    </row>
    <row r="30" spans="1:2" s="31" customFormat="1" ht="15.75">
      <c r="A30" s="32"/>
      <c r="B30" s="32"/>
    </row>
    <row r="31" spans="1:2" s="31" customFormat="1" ht="15.75">
      <c r="A31" s="21" t="s">
        <v>3</v>
      </c>
      <c r="B31" s="29">
        <f>SUM(B32:B36)</f>
        <v>-417311</v>
      </c>
    </row>
    <row r="32" spans="1:2" s="31" customFormat="1" ht="15.75">
      <c r="A32" s="23" t="s">
        <v>8</v>
      </c>
      <c r="B32" s="28">
        <f>-227000+75000-5500</f>
        <v>-157500</v>
      </c>
    </row>
    <row r="33" spans="1:2" s="31" customFormat="1" ht="15.75">
      <c r="A33" s="23" t="s">
        <v>24</v>
      </c>
      <c r="B33" s="28">
        <v>-8500</v>
      </c>
    </row>
    <row r="34" spans="1:2" s="31" customFormat="1" ht="15.75">
      <c r="A34" s="23" t="s">
        <v>27</v>
      </c>
      <c r="B34" s="28">
        <v>-120000</v>
      </c>
    </row>
    <row r="35" spans="1:4" s="19" customFormat="1" ht="14.25">
      <c r="A35" s="23" t="s">
        <v>31</v>
      </c>
      <c r="B35" s="28">
        <v>-111311</v>
      </c>
      <c r="C35" s="32"/>
      <c r="D35" s="33"/>
    </row>
    <row r="36" spans="1:4" s="19" customFormat="1" ht="14.25">
      <c r="A36" s="23" t="s">
        <v>68</v>
      </c>
      <c r="B36" s="28">
        <v>-20000</v>
      </c>
      <c r="C36" s="32"/>
      <c r="D36" s="33"/>
    </row>
    <row r="37" spans="3:4" s="19" customFormat="1" ht="12.75">
      <c r="C37" s="32"/>
      <c r="D37" s="33"/>
    </row>
    <row r="38" spans="1:4" s="19" customFormat="1" ht="14.25">
      <c r="A38" s="21" t="s">
        <v>5</v>
      </c>
      <c r="B38" s="29">
        <f>B39+B40+B41+B42</f>
        <v>417311</v>
      </c>
      <c r="C38" s="32"/>
      <c r="D38" s="33"/>
    </row>
    <row r="39" spans="1:4" s="19" customFormat="1" ht="14.25">
      <c r="A39" s="23" t="s">
        <v>79</v>
      </c>
      <c r="B39" s="28">
        <v>4000</v>
      </c>
      <c r="C39" s="32"/>
      <c r="D39" s="33"/>
    </row>
    <row r="40" spans="1:2" s="31" customFormat="1" ht="15.75">
      <c r="A40" s="23" t="s">
        <v>6</v>
      </c>
      <c r="B40" s="28">
        <f>111311-75000-30000-160000-66000+360000+223000</f>
        <v>363311</v>
      </c>
    </row>
    <row r="41" spans="1:2" s="31" customFormat="1" ht="15.75">
      <c r="A41" s="23" t="s">
        <v>9</v>
      </c>
      <c r="B41" s="28">
        <v>30000</v>
      </c>
    </row>
    <row r="42" spans="1:2" s="31" customFormat="1" ht="15.75">
      <c r="A42" s="23" t="s">
        <v>69</v>
      </c>
      <c r="B42" s="28">
        <v>20000</v>
      </c>
    </row>
    <row r="43" s="31" customFormat="1" ht="15.75">
      <c r="A43" s="19"/>
    </row>
    <row r="44" spans="1:4" s="19" customFormat="1" ht="114">
      <c r="A44" s="23" t="s">
        <v>78</v>
      </c>
      <c r="B44" s="32"/>
      <c r="C44" s="32"/>
      <c r="D44" s="33"/>
    </row>
    <row r="45" spans="1:4" ht="14.25">
      <c r="A45" s="2"/>
      <c r="B45" s="5"/>
      <c r="C45" s="5"/>
      <c r="D45" s="12"/>
    </row>
    <row r="46" spans="1:2" ht="15" customHeight="1">
      <c r="A46" s="13"/>
      <c r="B46" s="8"/>
    </row>
    <row r="47" spans="1:2" s="19" customFormat="1" ht="15">
      <c r="A47" s="17" t="s">
        <v>108</v>
      </c>
      <c r="B47" s="24">
        <f>B49</f>
        <v>0</v>
      </c>
    </row>
    <row r="48" spans="1:2" s="19" customFormat="1" ht="14.25">
      <c r="A48" s="25"/>
      <c r="B48" s="20"/>
    </row>
    <row r="49" spans="1:2" s="26" customFormat="1" ht="15.75">
      <c r="A49" s="17" t="s">
        <v>109</v>
      </c>
      <c r="B49" s="24">
        <f>B51+B56</f>
        <v>0</v>
      </c>
    </row>
    <row r="50" spans="1:2" s="19" customFormat="1" ht="17.25" customHeight="1">
      <c r="A50" s="27"/>
      <c r="B50" s="28"/>
    </row>
    <row r="51" spans="1:2" s="19" customFormat="1" ht="14.25">
      <c r="A51" s="21" t="s">
        <v>3</v>
      </c>
      <c r="B51" s="29">
        <f>SUM(B52:B54)</f>
        <v>-6814</v>
      </c>
    </row>
    <row r="52" spans="1:2" s="19" customFormat="1" ht="14.25">
      <c r="A52" s="23" t="s">
        <v>7</v>
      </c>
      <c r="B52" s="29">
        <v>-1086</v>
      </c>
    </row>
    <row r="53" spans="1:2" s="19" customFormat="1" ht="14.25">
      <c r="A53" s="23" t="s">
        <v>4</v>
      </c>
      <c r="B53" s="28">
        <v>-450</v>
      </c>
    </row>
    <row r="54" spans="1:2" s="19" customFormat="1" ht="14.25">
      <c r="A54" s="23" t="s">
        <v>6</v>
      </c>
      <c r="B54" s="28">
        <v>-5278</v>
      </c>
    </row>
    <row r="55" spans="1:2" s="19" customFormat="1" ht="14.25">
      <c r="A55" s="23"/>
      <c r="B55" s="28"/>
    </row>
    <row r="56" spans="1:2" s="19" customFormat="1" ht="14.25">
      <c r="A56" s="21" t="s">
        <v>5</v>
      </c>
      <c r="B56" s="29">
        <f>SUM(B57:B58)</f>
        <v>6814</v>
      </c>
    </row>
    <row r="57" spans="1:2" s="19" customFormat="1" ht="14.25">
      <c r="A57" s="23" t="s">
        <v>8</v>
      </c>
      <c r="B57" s="28">
        <v>5605</v>
      </c>
    </row>
    <row r="58" spans="1:2" s="19" customFormat="1" ht="14.25">
      <c r="A58" s="23" t="s">
        <v>9</v>
      </c>
      <c r="B58" s="28">
        <v>1209</v>
      </c>
    </row>
    <row r="59" spans="1:2" s="30" customFormat="1" ht="15.75" customHeight="1">
      <c r="A59" s="25"/>
      <c r="B59" s="20"/>
    </row>
    <row r="60" spans="1:2" s="19" customFormat="1" ht="28.5">
      <c r="A60" s="23" t="s">
        <v>29</v>
      </c>
      <c r="B60" s="20"/>
    </row>
    <row r="61" spans="1:2" s="19" customFormat="1" ht="14.25">
      <c r="A61" s="25"/>
      <c r="B61" s="20"/>
    </row>
    <row r="62" spans="1:2" s="19" customFormat="1" ht="15">
      <c r="A62" s="17" t="s">
        <v>41</v>
      </c>
      <c r="B62" s="24">
        <f>B64</f>
        <v>0</v>
      </c>
    </row>
    <row r="63" spans="1:2" ht="14.25">
      <c r="A63" s="7"/>
      <c r="B63" s="8"/>
    </row>
    <row r="64" spans="1:2" s="26" customFormat="1" ht="15.75">
      <c r="A64" s="17" t="s">
        <v>94</v>
      </c>
      <c r="B64" s="24">
        <f>B66+B72</f>
        <v>0</v>
      </c>
    </row>
    <row r="65" spans="1:2" s="19" customFormat="1" ht="17.25" customHeight="1">
      <c r="A65" s="27"/>
      <c r="B65" s="28"/>
    </row>
    <row r="66" spans="1:2" s="19" customFormat="1" ht="14.25">
      <c r="A66" s="21" t="s">
        <v>3</v>
      </c>
      <c r="B66" s="29">
        <f>SUM(B67:B70)</f>
        <v>-2879</v>
      </c>
    </row>
    <row r="67" spans="1:2" s="19" customFormat="1" ht="14.25">
      <c r="A67" s="23" t="s">
        <v>4</v>
      </c>
      <c r="B67" s="28">
        <v>-764</v>
      </c>
    </row>
    <row r="68" spans="1:2" s="19" customFormat="1" ht="14.25">
      <c r="A68" s="23" t="s">
        <v>6</v>
      </c>
      <c r="B68" s="28">
        <f>3125-5208</f>
        <v>-2083</v>
      </c>
    </row>
    <row r="69" spans="1:2" s="19" customFormat="1" ht="14.25">
      <c r="A69" s="23" t="s">
        <v>27</v>
      </c>
      <c r="B69" s="28">
        <f>730-742</f>
        <v>-12</v>
      </c>
    </row>
    <row r="70" spans="1:2" s="19" customFormat="1" ht="14.25">
      <c r="A70" s="23" t="s">
        <v>9</v>
      </c>
      <c r="B70" s="28">
        <v>-20</v>
      </c>
    </row>
    <row r="71" spans="1:2" s="19" customFormat="1" ht="14.25">
      <c r="A71" s="23"/>
      <c r="B71" s="28"/>
    </row>
    <row r="72" spans="1:2" s="19" customFormat="1" ht="14.25">
      <c r="A72" s="21" t="s">
        <v>5</v>
      </c>
      <c r="B72" s="29">
        <f>SUM(B73:B75)</f>
        <v>2879</v>
      </c>
    </row>
    <row r="73" spans="1:2" s="19" customFormat="1" ht="14.25">
      <c r="A73" s="23" t="s">
        <v>44</v>
      </c>
      <c r="B73" s="28">
        <f>1950-1060</f>
        <v>890</v>
      </c>
    </row>
    <row r="74" spans="1:2" s="19" customFormat="1" ht="14.25">
      <c r="A74" s="23" t="s">
        <v>8</v>
      </c>
      <c r="B74" s="28">
        <f>2970-2506</f>
        <v>464</v>
      </c>
    </row>
    <row r="75" spans="1:2" s="19" customFormat="1" ht="14.25">
      <c r="A75" s="23" t="s">
        <v>21</v>
      </c>
      <c r="B75" s="28">
        <f>1525</f>
        <v>1525</v>
      </c>
    </row>
    <row r="76" spans="1:2" s="30" customFormat="1" ht="15.75" customHeight="1">
      <c r="A76" s="25"/>
      <c r="B76" s="20"/>
    </row>
    <row r="77" spans="1:2" s="19" customFormat="1" ht="42.75">
      <c r="A77" s="25" t="s">
        <v>90</v>
      </c>
      <c r="B77" s="20"/>
    </row>
    <row r="78" spans="1:2" ht="14.25">
      <c r="A78" s="7"/>
      <c r="B78" s="8"/>
    </row>
    <row r="79" spans="1:2" s="19" customFormat="1" ht="15">
      <c r="A79" s="17" t="s">
        <v>33</v>
      </c>
      <c r="B79" s="24">
        <f>B81+B111</f>
        <v>0</v>
      </c>
    </row>
    <row r="80" spans="1:2" s="19" customFormat="1" ht="12.75" customHeight="1">
      <c r="A80" s="17"/>
      <c r="B80" s="28"/>
    </row>
    <row r="81" spans="1:2" s="19" customFormat="1" ht="15">
      <c r="A81" s="17" t="s">
        <v>34</v>
      </c>
      <c r="B81" s="24">
        <f>B83+B92</f>
        <v>0</v>
      </c>
    </row>
    <row r="82" spans="1:2" s="26" customFormat="1" ht="15">
      <c r="A82" s="27"/>
      <c r="B82" s="28"/>
    </row>
    <row r="83" spans="1:2" s="26" customFormat="1" ht="15">
      <c r="A83" s="21" t="s">
        <v>3</v>
      </c>
      <c r="B83" s="29">
        <f>SUM(B84:B90)</f>
        <v>-48485</v>
      </c>
    </row>
    <row r="84" spans="1:2" s="26" customFormat="1" ht="15">
      <c r="A84" s="23" t="s">
        <v>11</v>
      </c>
      <c r="B84" s="28">
        <v>-149</v>
      </c>
    </row>
    <row r="85" spans="1:2" s="26" customFormat="1" ht="15">
      <c r="A85" s="25" t="s">
        <v>32</v>
      </c>
      <c r="B85" s="28">
        <f>-2900+377</f>
        <v>-2523</v>
      </c>
    </row>
    <row r="86" spans="1:2" s="26" customFormat="1" ht="15">
      <c r="A86" s="25" t="s">
        <v>48</v>
      </c>
      <c r="B86" s="28">
        <v>-1536</v>
      </c>
    </row>
    <row r="87" spans="1:2" s="26" customFormat="1" ht="15">
      <c r="A87" s="23" t="s">
        <v>21</v>
      </c>
      <c r="B87" s="28">
        <f>-277</f>
        <v>-277</v>
      </c>
    </row>
    <row r="88" spans="1:2" s="26" customFormat="1" ht="15">
      <c r="A88" s="23" t="s">
        <v>7</v>
      </c>
      <c r="B88" s="28">
        <v>-3000</v>
      </c>
    </row>
    <row r="89" spans="1:2" s="30" customFormat="1" ht="15.75">
      <c r="A89" s="25" t="s">
        <v>4</v>
      </c>
      <c r="B89" s="20">
        <f>-1000</f>
        <v>-1000</v>
      </c>
    </row>
    <row r="90" spans="1:2" s="30" customFormat="1" ht="15.75">
      <c r="A90" s="25" t="s">
        <v>24</v>
      </c>
      <c r="B90" s="20">
        <v>-40000</v>
      </c>
    </row>
    <row r="91" spans="1:2" s="26" customFormat="1" ht="15">
      <c r="A91" s="23"/>
      <c r="B91" s="28"/>
    </row>
    <row r="92" spans="1:2" s="19" customFormat="1" ht="14.25">
      <c r="A92" s="21" t="s">
        <v>5</v>
      </c>
      <c r="B92" s="29">
        <f>SUM(B93:B95)</f>
        <v>48485</v>
      </c>
    </row>
    <row r="93" spans="1:2" s="26" customFormat="1" ht="15">
      <c r="A93" s="23" t="s">
        <v>98</v>
      </c>
      <c r="B93" s="28">
        <v>15000</v>
      </c>
    </row>
    <row r="94" spans="1:2" s="26" customFormat="1" ht="15">
      <c r="A94" s="23" t="s">
        <v>8</v>
      </c>
      <c r="B94" s="28">
        <f>149+2000+11136-500+1200</f>
        <v>13985</v>
      </c>
    </row>
    <row r="95" spans="1:2" s="30" customFormat="1" ht="15.75">
      <c r="A95" s="25" t="s">
        <v>6</v>
      </c>
      <c r="B95" s="20">
        <f>-2000-6600+3100+25000</f>
        <v>19500</v>
      </c>
    </row>
    <row r="96" spans="1:2" s="19" customFormat="1" ht="14.25">
      <c r="A96" s="23"/>
      <c r="B96" s="28"/>
    </row>
    <row r="97" spans="1:2" ht="106.5" customHeight="1">
      <c r="A97" s="23" t="s">
        <v>99</v>
      </c>
      <c r="B97" s="3"/>
    </row>
    <row r="98" spans="1:2" ht="16.5" customHeight="1">
      <c r="A98" s="2"/>
      <c r="B98" s="3"/>
    </row>
    <row r="99" spans="1:2" s="19" customFormat="1" ht="15">
      <c r="A99" s="17" t="s">
        <v>36</v>
      </c>
      <c r="B99" s="24">
        <f>B101+B104</f>
        <v>0</v>
      </c>
    </row>
    <row r="100" spans="1:2" s="19" customFormat="1" ht="14.25">
      <c r="A100" s="23"/>
      <c r="B100" s="28"/>
    </row>
    <row r="101" spans="1:2" s="30" customFormat="1" ht="15.75">
      <c r="A101" s="43" t="s">
        <v>3</v>
      </c>
      <c r="B101" s="22">
        <f>SUM(B102:B102)</f>
        <v>-40000</v>
      </c>
    </row>
    <row r="102" spans="1:2" s="30" customFormat="1" ht="15.75">
      <c r="A102" s="44" t="s">
        <v>24</v>
      </c>
      <c r="B102" s="20">
        <f>-45000+5000</f>
        <v>-40000</v>
      </c>
    </row>
    <row r="103" spans="1:2" s="19" customFormat="1" ht="14.25">
      <c r="A103" s="23"/>
      <c r="B103" s="28"/>
    </row>
    <row r="104" spans="1:2" s="30" customFormat="1" ht="15.75">
      <c r="A104" s="43" t="s">
        <v>5</v>
      </c>
      <c r="B104" s="22">
        <f>SUM(B105:B106)</f>
        <v>40000</v>
      </c>
    </row>
    <row r="105" spans="1:2" s="26" customFormat="1" ht="15">
      <c r="A105" s="23" t="s">
        <v>8</v>
      </c>
      <c r="B105" s="28">
        <f>5500-2500</f>
        <v>3000</v>
      </c>
    </row>
    <row r="106" spans="1:2" s="30" customFormat="1" ht="15.75">
      <c r="A106" s="25" t="s">
        <v>37</v>
      </c>
      <c r="B106" s="20">
        <f>39500-2500</f>
        <v>37000</v>
      </c>
    </row>
    <row r="107" spans="1:2" s="30" customFormat="1" ht="15.75">
      <c r="A107" s="25"/>
      <c r="B107" s="20"/>
    </row>
    <row r="108" spans="1:2" s="31" customFormat="1" ht="57.75">
      <c r="A108" s="23" t="s">
        <v>70</v>
      </c>
      <c r="B108" s="28"/>
    </row>
    <row r="109" spans="1:2" s="6" customFormat="1" ht="15.75">
      <c r="A109" s="2"/>
      <c r="B109" s="3"/>
    </row>
    <row r="110" spans="1:2" s="19" customFormat="1" ht="15">
      <c r="A110" s="17" t="s">
        <v>12</v>
      </c>
      <c r="B110" s="24">
        <f>B112</f>
        <v>0</v>
      </c>
    </row>
    <row r="111" spans="1:2" s="19" customFormat="1" ht="12.75" customHeight="1">
      <c r="A111" s="17"/>
      <c r="B111" s="28"/>
    </row>
    <row r="112" spans="1:2" s="19" customFormat="1" ht="15">
      <c r="A112" s="17" t="s">
        <v>18</v>
      </c>
      <c r="B112" s="24">
        <f>B114+B122</f>
        <v>0</v>
      </c>
    </row>
    <row r="113" spans="1:2" s="26" customFormat="1" ht="15">
      <c r="A113" s="27"/>
      <c r="B113" s="28"/>
    </row>
    <row r="114" spans="1:2" s="26" customFormat="1" ht="15">
      <c r="A114" s="21" t="s">
        <v>3</v>
      </c>
      <c r="B114" s="29">
        <f>SUM(B115:B120)</f>
        <v>-10324</v>
      </c>
    </row>
    <row r="115" spans="1:2" s="26" customFormat="1" ht="15">
      <c r="A115" s="23" t="s">
        <v>11</v>
      </c>
      <c r="B115" s="28">
        <f>88+831-1000</f>
        <v>-81</v>
      </c>
    </row>
    <row r="116" spans="1:2" s="19" customFormat="1" ht="14.25">
      <c r="A116" s="23" t="s">
        <v>21</v>
      </c>
      <c r="B116" s="28">
        <v>-1100</v>
      </c>
    </row>
    <row r="117" spans="1:2" s="26" customFormat="1" ht="15">
      <c r="A117" s="23" t="s">
        <v>6</v>
      </c>
      <c r="B117" s="28">
        <f>-7348+1100</f>
        <v>-6248</v>
      </c>
    </row>
    <row r="118" spans="1:2" s="31" customFormat="1" ht="15.75">
      <c r="A118" s="23" t="s">
        <v>27</v>
      </c>
      <c r="B118" s="28">
        <f>-300-360</f>
        <v>-660</v>
      </c>
    </row>
    <row r="119" spans="1:4" s="19" customFormat="1" ht="14.25">
      <c r="A119" s="23" t="s">
        <v>9</v>
      </c>
      <c r="B119" s="28">
        <v>-2182</v>
      </c>
      <c r="C119" s="32"/>
      <c r="D119" s="33"/>
    </row>
    <row r="120" spans="1:2" s="19" customFormat="1" ht="14.25">
      <c r="A120" s="23" t="s">
        <v>40</v>
      </c>
      <c r="B120" s="28">
        <f>-134+81</f>
        <v>-53</v>
      </c>
    </row>
    <row r="121" spans="1:2" s="26" customFormat="1" ht="15">
      <c r="A121" s="23"/>
      <c r="B121" s="28"/>
    </row>
    <row r="122" spans="1:2" s="19" customFormat="1" ht="14.25">
      <c r="A122" s="21" t="s">
        <v>5</v>
      </c>
      <c r="B122" s="29">
        <f>SUM(B123:B124)</f>
        <v>10324</v>
      </c>
    </row>
    <row r="123" spans="1:2" s="26" customFormat="1" ht="15">
      <c r="A123" s="23" t="s">
        <v>8</v>
      </c>
      <c r="B123" s="28">
        <f>46+1270</f>
        <v>1316</v>
      </c>
    </row>
    <row r="124" spans="1:2" s="19" customFormat="1" ht="14.25">
      <c r="A124" s="23" t="s">
        <v>4</v>
      </c>
      <c r="B124" s="28">
        <f>300+7348+360+1000</f>
        <v>9008</v>
      </c>
    </row>
    <row r="125" spans="1:2" s="19" customFormat="1" ht="14.25">
      <c r="A125" s="23"/>
      <c r="B125" s="28"/>
    </row>
    <row r="126" spans="1:2" s="19" customFormat="1" ht="116.25" customHeight="1">
      <c r="A126" s="23" t="s">
        <v>54</v>
      </c>
      <c r="B126" s="28"/>
    </row>
    <row r="127" spans="1:2" s="19" customFormat="1" ht="14.25">
      <c r="A127" s="23"/>
      <c r="B127" s="28"/>
    </row>
    <row r="128" spans="1:2" s="19" customFormat="1" ht="30">
      <c r="A128" s="17" t="s">
        <v>82</v>
      </c>
      <c r="B128" s="24">
        <f>B130+B133</f>
        <v>0</v>
      </c>
    </row>
    <row r="129" spans="1:2" s="26" customFormat="1" ht="15">
      <c r="A129" s="27"/>
      <c r="B129" s="28"/>
    </row>
    <row r="130" spans="1:2" s="26" customFormat="1" ht="15">
      <c r="A130" s="21" t="s">
        <v>3</v>
      </c>
      <c r="B130" s="29">
        <f>SUM(B131:B131)</f>
        <v>-5000</v>
      </c>
    </row>
    <row r="131" spans="1:2" s="26" customFormat="1" ht="15">
      <c r="A131" s="23" t="s">
        <v>8</v>
      </c>
      <c r="B131" s="28">
        <v>-5000</v>
      </c>
    </row>
    <row r="132" spans="1:2" s="26" customFormat="1" ht="15">
      <c r="A132" s="23"/>
      <c r="B132" s="28"/>
    </row>
    <row r="133" spans="1:2" s="19" customFormat="1" ht="14.25">
      <c r="A133" s="21" t="s">
        <v>5</v>
      </c>
      <c r="B133" s="29">
        <f>SUM(B134:B134)</f>
        <v>5000</v>
      </c>
    </row>
    <row r="134" spans="1:2" s="26" customFormat="1" ht="15">
      <c r="A134" s="23" t="s">
        <v>4</v>
      </c>
      <c r="B134" s="28">
        <v>5000</v>
      </c>
    </row>
    <row r="135" spans="1:2" s="19" customFormat="1" ht="14.25">
      <c r="A135" s="23"/>
      <c r="B135" s="28" t="s">
        <v>77</v>
      </c>
    </row>
    <row r="136" spans="1:2" s="19" customFormat="1" ht="58.5" customHeight="1">
      <c r="A136" s="23" t="s">
        <v>83</v>
      </c>
      <c r="B136" s="28"/>
    </row>
    <row r="137" spans="1:2" s="19" customFormat="1" ht="14.25">
      <c r="A137" s="23"/>
      <c r="B137" s="28"/>
    </row>
    <row r="138" spans="1:2" s="19" customFormat="1" ht="15">
      <c r="A138" s="17" t="s">
        <v>75</v>
      </c>
      <c r="B138" s="24">
        <f>B140+B143</f>
        <v>0</v>
      </c>
    </row>
    <row r="139" spans="1:2" s="26" customFormat="1" ht="15">
      <c r="A139" s="27"/>
      <c r="B139" s="28"/>
    </row>
    <row r="140" spans="1:2" s="26" customFormat="1" ht="15">
      <c r="A140" s="21" t="s">
        <v>3</v>
      </c>
      <c r="B140" s="29">
        <f>SUM(B141:B141)</f>
        <v>-100000</v>
      </c>
    </row>
    <row r="141" spans="1:2" s="26" customFormat="1" ht="15">
      <c r="A141" s="23" t="s">
        <v>6</v>
      </c>
      <c r="B141" s="28">
        <v>-100000</v>
      </c>
    </row>
    <row r="142" spans="1:2" s="26" customFormat="1" ht="15">
      <c r="A142" s="23"/>
      <c r="B142" s="28"/>
    </row>
    <row r="143" spans="1:2" s="19" customFormat="1" ht="14.25">
      <c r="A143" s="21" t="s">
        <v>5</v>
      </c>
      <c r="B143" s="29">
        <f>SUM(B144:B144)</f>
        <v>100000</v>
      </c>
    </row>
    <row r="144" spans="1:2" s="26" customFormat="1" ht="15">
      <c r="A144" s="23" t="s">
        <v>76</v>
      </c>
      <c r="B144" s="28">
        <v>100000</v>
      </c>
    </row>
    <row r="145" spans="1:2" s="19" customFormat="1" ht="14.25">
      <c r="A145" s="23"/>
      <c r="B145" s="28"/>
    </row>
    <row r="146" spans="1:2" s="19" customFormat="1" ht="56.25" customHeight="1">
      <c r="A146" s="23" t="s">
        <v>86</v>
      </c>
      <c r="B146" s="28"/>
    </row>
    <row r="147" spans="1:2" s="19" customFormat="1" ht="14.25">
      <c r="A147" s="23"/>
      <c r="B147" s="28"/>
    </row>
    <row r="148" spans="1:2" s="19" customFormat="1" ht="15">
      <c r="A148" s="17" t="s">
        <v>84</v>
      </c>
      <c r="B148" s="24">
        <f>B150+B156</f>
        <v>0</v>
      </c>
    </row>
    <row r="149" spans="1:2" s="26" customFormat="1" ht="15">
      <c r="A149" s="27"/>
      <c r="B149" s="28"/>
    </row>
    <row r="150" spans="1:2" s="26" customFormat="1" ht="15">
      <c r="A150" s="21" t="s">
        <v>3</v>
      </c>
      <c r="B150" s="29">
        <f>SUM(B151:B154)</f>
        <v>-26676</v>
      </c>
    </row>
    <row r="151" spans="1:2" s="26" customFormat="1" ht="15">
      <c r="A151" s="23" t="s">
        <v>7</v>
      </c>
      <c r="B151" s="28">
        <v>-20520</v>
      </c>
    </row>
    <row r="152" spans="1:2" s="26" customFormat="1" ht="15">
      <c r="A152" s="23" t="s">
        <v>49</v>
      </c>
      <c r="B152" s="28">
        <v>-1949</v>
      </c>
    </row>
    <row r="153" spans="1:2" s="26" customFormat="1" ht="15">
      <c r="A153" s="23" t="s">
        <v>9</v>
      </c>
      <c r="B153" s="28">
        <v>-3899</v>
      </c>
    </row>
    <row r="154" spans="1:2" s="26" customFormat="1" ht="15">
      <c r="A154" s="23" t="s">
        <v>40</v>
      </c>
      <c r="B154" s="28">
        <v>-308</v>
      </c>
    </row>
    <row r="155" spans="1:2" s="26" customFormat="1" ht="15">
      <c r="A155" s="23"/>
      <c r="B155" s="28"/>
    </row>
    <row r="156" spans="1:2" s="19" customFormat="1" ht="14.25">
      <c r="A156" s="21" t="s">
        <v>5</v>
      </c>
      <c r="B156" s="29">
        <f>SUM(B157:B159)</f>
        <v>26676</v>
      </c>
    </row>
    <row r="157" spans="1:2" s="26" customFormat="1" ht="15">
      <c r="A157" s="23" t="s">
        <v>8</v>
      </c>
      <c r="B157" s="28">
        <v>8208</v>
      </c>
    </row>
    <row r="158" spans="1:2" s="26" customFormat="1" ht="15">
      <c r="A158" s="23" t="s">
        <v>4</v>
      </c>
      <c r="B158" s="28">
        <v>4104</v>
      </c>
    </row>
    <row r="159" spans="1:2" s="19" customFormat="1" ht="14.25">
      <c r="A159" s="23" t="s">
        <v>6</v>
      </c>
      <c r="B159" s="28">
        <v>14364</v>
      </c>
    </row>
    <row r="160" spans="1:2" s="19" customFormat="1" ht="14.25">
      <c r="A160" s="23"/>
      <c r="B160" s="28"/>
    </row>
    <row r="161" spans="1:2" s="19" customFormat="1" ht="64.5" customHeight="1">
      <c r="A161" s="23" t="s">
        <v>83</v>
      </c>
      <c r="B161" s="28"/>
    </row>
    <row r="162" spans="1:2" s="19" customFormat="1" ht="14.25">
      <c r="A162" s="23"/>
      <c r="B162" s="28"/>
    </row>
    <row r="163" spans="1:2" s="19" customFormat="1" ht="15">
      <c r="A163" s="17" t="s">
        <v>38</v>
      </c>
      <c r="B163" s="24">
        <f>B165</f>
        <v>0</v>
      </c>
    </row>
    <row r="164" spans="1:2" s="19" customFormat="1" ht="12.75" customHeight="1">
      <c r="A164" s="17"/>
      <c r="B164" s="28"/>
    </row>
    <row r="165" spans="1:2" s="19" customFormat="1" ht="15">
      <c r="A165" s="17" t="s">
        <v>39</v>
      </c>
      <c r="B165" s="24">
        <f>B167+B175</f>
        <v>0</v>
      </c>
    </row>
    <row r="166" spans="1:2" s="26" customFormat="1" ht="15">
      <c r="A166" s="27"/>
      <c r="B166" s="28"/>
    </row>
    <row r="167" spans="1:2" s="26" customFormat="1" ht="15">
      <c r="A167" s="21" t="s">
        <v>3</v>
      </c>
      <c r="B167" s="29">
        <f>SUM(B168:B173)</f>
        <v>-17190</v>
      </c>
    </row>
    <row r="168" spans="1:2" s="26" customFormat="1" ht="15">
      <c r="A168" s="23" t="s">
        <v>79</v>
      </c>
      <c r="B168" s="28">
        <v>-987</v>
      </c>
    </row>
    <row r="169" spans="1:2" s="26" customFormat="1" ht="15">
      <c r="A169" s="23" t="s">
        <v>8</v>
      </c>
      <c r="B169" s="28">
        <f>-812+10500-10000</f>
        <v>-312</v>
      </c>
    </row>
    <row r="170" spans="1:2" s="26" customFormat="1" ht="15">
      <c r="A170" s="23" t="s">
        <v>24</v>
      </c>
      <c r="B170" s="28">
        <v>-2730</v>
      </c>
    </row>
    <row r="171" spans="1:2" s="26" customFormat="1" ht="15">
      <c r="A171" s="23" t="s">
        <v>6</v>
      </c>
      <c r="B171" s="28">
        <f>805-13000+196+1987</f>
        <v>-10012</v>
      </c>
    </row>
    <row r="172" spans="1:2" s="31" customFormat="1" ht="15.75">
      <c r="A172" s="23" t="s">
        <v>27</v>
      </c>
      <c r="B172" s="28">
        <f>736-2828-1000</f>
        <v>-3092</v>
      </c>
    </row>
    <row r="173" spans="1:2" s="19" customFormat="1" ht="14.25">
      <c r="A173" s="23" t="s">
        <v>9</v>
      </c>
      <c r="B173" s="28">
        <f>-436+575-196</f>
        <v>-57</v>
      </c>
    </row>
    <row r="174" s="19" customFormat="1" ht="12.75"/>
    <row r="175" spans="1:2" s="19" customFormat="1" ht="14.25">
      <c r="A175" s="21" t="s">
        <v>5</v>
      </c>
      <c r="B175" s="29">
        <f>SUM(B176:B178)</f>
        <v>17190</v>
      </c>
    </row>
    <row r="176" spans="1:2" s="26" customFormat="1" ht="15">
      <c r="A176" s="23" t="s">
        <v>21</v>
      </c>
      <c r="B176" s="28">
        <v>1929</v>
      </c>
    </row>
    <row r="177" spans="1:2" s="19" customFormat="1" ht="14.25">
      <c r="A177" s="23" t="s">
        <v>4</v>
      </c>
      <c r="B177" s="28">
        <f>1925+2500+10000</f>
        <v>14425</v>
      </c>
    </row>
    <row r="178" spans="1:2" s="19" customFormat="1" ht="14.25">
      <c r="A178" s="23" t="s">
        <v>40</v>
      </c>
      <c r="B178" s="28">
        <f>512+324</f>
        <v>836</v>
      </c>
    </row>
    <row r="179" spans="1:2" s="19" customFormat="1" ht="14.25">
      <c r="A179" s="23"/>
      <c r="B179" s="28"/>
    </row>
    <row r="180" spans="1:2" s="19" customFormat="1" ht="106.5" customHeight="1">
      <c r="A180" s="23" t="s">
        <v>96</v>
      </c>
      <c r="B180" s="28"/>
    </row>
    <row r="181" spans="1:2" s="19" customFormat="1" ht="16.5" customHeight="1">
      <c r="A181" s="23"/>
      <c r="B181" s="28"/>
    </row>
    <row r="182" spans="1:2" s="19" customFormat="1" ht="16.5" customHeight="1">
      <c r="A182" s="17" t="s">
        <v>102</v>
      </c>
      <c r="B182" s="18">
        <f>B184</f>
        <v>0</v>
      </c>
    </row>
    <row r="183" spans="1:2" ht="16.5" customHeight="1">
      <c r="A183" s="1"/>
      <c r="B183" s="8"/>
    </row>
    <row r="184" spans="1:2" s="19" customFormat="1" ht="16.5" customHeight="1">
      <c r="A184" s="17" t="s">
        <v>103</v>
      </c>
      <c r="B184" s="18">
        <f>B186+B191</f>
        <v>0</v>
      </c>
    </row>
    <row r="185" spans="1:2" ht="16.5" customHeight="1">
      <c r="A185" s="1"/>
      <c r="B185" s="8"/>
    </row>
    <row r="186" spans="1:2" s="19" customFormat="1" ht="16.5" customHeight="1">
      <c r="A186" s="21" t="s">
        <v>3</v>
      </c>
      <c r="B186" s="22">
        <f>B188+B189+B187</f>
        <v>-13354</v>
      </c>
    </row>
    <row r="187" spans="1:2" s="19" customFormat="1" ht="16.5" customHeight="1">
      <c r="A187" s="23" t="s">
        <v>6</v>
      </c>
      <c r="B187" s="20">
        <v>-1800</v>
      </c>
    </row>
    <row r="188" spans="1:2" s="19" customFormat="1" ht="16.5" customHeight="1">
      <c r="A188" s="23" t="s">
        <v>49</v>
      </c>
      <c r="B188" s="20">
        <v>-3260</v>
      </c>
    </row>
    <row r="189" spans="1:2" s="19" customFormat="1" ht="16.5" customHeight="1">
      <c r="A189" s="23" t="s">
        <v>104</v>
      </c>
      <c r="B189" s="20">
        <v>-8294</v>
      </c>
    </row>
    <row r="190" spans="1:2" ht="16.5" customHeight="1">
      <c r="A190" s="1"/>
      <c r="B190" s="8"/>
    </row>
    <row r="191" spans="1:2" s="19" customFormat="1" ht="16.5" customHeight="1">
      <c r="A191" s="21" t="s">
        <v>5</v>
      </c>
      <c r="B191" s="22">
        <f>B192+B193</f>
        <v>13354</v>
      </c>
    </row>
    <row r="192" spans="1:2" s="19" customFormat="1" ht="16.5" customHeight="1">
      <c r="A192" s="23" t="s">
        <v>8</v>
      </c>
      <c r="B192" s="20">
        <v>7054</v>
      </c>
    </row>
    <row r="193" spans="1:2" s="19" customFormat="1" ht="16.5" customHeight="1">
      <c r="A193" s="23" t="s">
        <v>105</v>
      </c>
      <c r="B193" s="20">
        <v>6300</v>
      </c>
    </row>
    <row r="194" spans="1:2" s="19" customFormat="1" ht="16.5" customHeight="1">
      <c r="A194" s="23"/>
      <c r="B194" s="20"/>
    </row>
    <row r="195" spans="1:2" s="19" customFormat="1" ht="61.5" customHeight="1">
      <c r="A195" s="23" t="s">
        <v>106</v>
      </c>
      <c r="B195" s="20"/>
    </row>
    <row r="196" spans="1:2" s="19" customFormat="1" ht="18" customHeight="1">
      <c r="A196" s="23"/>
      <c r="B196" s="28"/>
    </row>
    <row r="197" spans="1:2" ht="15">
      <c r="A197" s="17" t="s">
        <v>50</v>
      </c>
      <c r="B197" s="18">
        <f>B200</f>
        <v>0</v>
      </c>
    </row>
    <row r="198" spans="1:2" ht="15">
      <c r="A198" s="17" t="s">
        <v>51</v>
      </c>
      <c r="B198" s="19"/>
    </row>
    <row r="199" spans="1:2" ht="15">
      <c r="A199" s="17"/>
      <c r="B199" s="20"/>
    </row>
    <row r="200" spans="1:2" ht="15">
      <c r="A200" s="17" t="s">
        <v>52</v>
      </c>
      <c r="B200" s="18">
        <f>B202+B208</f>
        <v>0</v>
      </c>
    </row>
    <row r="201" spans="1:2" ht="15">
      <c r="A201" s="17"/>
      <c r="B201" s="20"/>
    </row>
    <row r="202" spans="1:2" ht="14.25">
      <c r="A202" s="21" t="s">
        <v>3</v>
      </c>
      <c r="B202" s="22">
        <f>B204+B205+B206+B203</f>
        <v>-123596</v>
      </c>
    </row>
    <row r="203" spans="1:2" ht="14.25">
      <c r="A203" s="23" t="s">
        <v>8</v>
      </c>
      <c r="B203" s="20">
        <v>-700</v>
      </c>
    </row>
    <row r="204" spans="1:2" ht="14.25">
      <c r="A204" s="23" t="s">
        <v>7</v>
      </c>
      <c r="B204" s="20">
        <f>-30000-896</f>
        <v>-30896</v>
      </c>
    </row>
    <row r="205" spans="1:2" ht="14.25">
      <c r="A205" s="23" t="s">
        <v>4</v>
      </c>
      <c r="B205" s="20">
        <v>-52000</v>
      </c>
    </row>
    <row r="206" spans="1:2" ht="14.25">
      <c r="A206" s="23" t="s">
        <v>6</v>
      </c>
      <c r="B206" s="20">
        <v>-40000</v>
      </c>
    </row>
    <row r="207" spans="1:2" ht="15">
      <c r="A207" s="17"/>
      <c r="B207" s="20"/>
    </row>
    <row r="208" spans="1:2" ht="14.25">
      <c r="A208" s="21" t="s">
        <v>5</v>
      </c>
      <c r="B208" s="22">
        <f>B209+B210+B211+B212</f>
        <v>123596</v>
      </c>
    </row>
    <row r="209" spans="1:2" ht="14.25">
      <c r="A209" s="23" t="s">
        <v>8</v>
      </c>
      <c r="B209" s="20">
        <v>40000</v>
      </c>
    </row>
    <row r="210" spans="1:2" ht="14.25">
      <c r="A210" s="23" t="s">
        <v>32</v>
      </c>
      <c r="B210" s="20">
        <v>80000</v>
      </c>
    </row>
    <row r="211" spans="1:2" ht="14.25">
      <c r="A211" s="23" t="s">
        <v>24</v>
      </c>
      <c r="B211" s="20">
        <f>2000+700</f>
        <v>2700</v>
      </c>
    </row>
    <row r="212" spans="1:2" ht="14.25">
      <c r="A212" s="23" t="s">
        <v>40</v>
      </c>
      <c r="B212" s="20">
        <v>896</v>
      </c>
    </row>
    <row r="213" spans="1:2" ht="14.25">
      <c r="A213" s="23"/>
      <c r="B213" s="20"/>
    </row>
    <row r="214" spans="1:2" ht="71.25">
      <c r="A214" s="23" t="s">
        <v>56</v>
      </c>
      <c r="B214" s="20"/>
    </row>
    <row r="215" spans="1:2" ht="14.25">
      <c r="A215" s="2"/>
      <c r="B215" s="8"/>
    </row>
    <row r="216" spans="1:2" ht="15" hidden="1">
      <c r="A216" s="1"/>
      <c r="B216" s="8"/>
    </row>
    <row r="217" spans="1:2" ht="15" hidden="1">
      <c r="A217" s="1"/>
      <c r="B217" s="8"/>
    </row>
    <row r="218" spans="1:2" s="19" customFormat="1" ht="15">
      <c r="A218" s="25"/>
      <c r="B218" s="18"/>
    </row>
    <row r="219" spans="1:2" s="19" customFormat="1" ht="15">
      <c r="A219" s="42" t="s">
        <v>16</v>
      </c>
      <c r="B219" s="24">
        <f>B221+B233+B245</f>
        <v>0</v>
      </c>
    </row>
    <row r="220" spans="1:2" s="19" customFormat="1" ht="15">
      <c r="A220" s="42"/>
      <c r="B220" s="24"/>
    </row>
    <row r="221" spans="1:2" s="19" customFormat="1" ht="15">
      <c r="A221" s="17" t="s">
        <v>25</v>
      </c>
      <c r="B221" s="24">
        <f>B223</f>
        <v>0</v>
      </c>
    </row>
    <row r="222" s="19" customFormat="1" ht="14.25">
      <c r="A222" s="25"/>
    </row>
    <row r="223" spans="1:2" s="19" customFormat="1" ht="15">
      <c r="A223" s="17" t="s">
        <v>62</v>
      </c>
      <c r="B223" s="24">
        <f>B225+B228</f>
        <v>0</v>
      </c>
    </row>
    <row r="224" s="19" customFormat="1" ht="14.25">
      <c r="A224" s="27"/>
    </row>
    <row r="225" spans="1:2" s="19" customFormat="1" ht="14.25">
      <c r="A225" s="21" t="s">
        <v>3</v>
      </c>
      <c r="B225" s="29">
        <f>B226</f>
        <v>-7732</v>
      </c>
    </row>
    <row r="226" spans="1:2" s="19" customFormat="1" ht="14.25">
      <c r="A226" s="23" t="s">
        <v>31</v>
      </c>
      <c r="B226" s="28">
        <v>-7732</v>
      </c>
    </row>
    <row r="227" spans="1:2" s="19" customFormat="1" ht="14.25">
      <c r="A227" s="23"/>
      <c r="B227" s="29"/>
    </row>
    <row r="228" spans="1:2" s="19" customFormat="1" ht="14.25">
      <c r="A228" s="21" t="s">
        <v>5</v>
      </c>
      <c r="B228" s="28">
        <f>B229</f>
        <v>7732</v>
      </c>
    </row>
    <row r="229" spans="1:2" s="19" customFormat="1" ht="14.25">
      <c r="A229" s="23" t="s">
        <v>6</v>
      </c>
      <c r="B229" s="28">
        <v>7732</v>
      </c>
    </row>
    <row r="230" spans="1:2" s="19" customFormat="1" ht="14.25">
      <c r="A230" s="23"/>
      <c r="B230" s="28"/>
    </row>
    <row r="231" spans="1:2" s="19" customFormat="1" ht="42.75">
      <c r="A231" s="23" t="s">
        <v>63</v>
      </c>
      <c r="B231" s="28"/>
    </row>
    <row r="232" spans="1:2" ht="14.25">
      <c r="A232" s="2"/>
      <c r="B232" s="3"/>
    </row>
    <row r="233" spans="1:2" s="19" customFormat="1" ht="15">
      <c r="A233" s="17" t="s">
        <v>53</v>
      </c>
      <c r="B233" s="24">
        <f>B235</f>
        <v>0</v>
      </c>
    </row>
    <row r="234" s="19" customFormat="1" ht="14.25">
      <c r="A234" s="25"/>
    </row>
    <row r="235" spans="1:2" s="19" customFormat="1" ht="15">
      <c r="A235" s="17" t="s">
        <v>66</v>
      </c>
      <c r="B235" s="24">
        <f>B237+B240</f>
        <v>0</v>
      </c>
    </row>
    <row r="236" spans="1:2" s="19" customFormat="1" ht="14.25">
      <c r="A236" s="27"/>
      <c r="B236" s="29"/>
    </row>
    <row r="237" spans="1:2" s="19" customFormat="1" ht="14.25">
      <c r="A237" s="21" t="s">
        <v>3</v>
      </c>
      <c r="B237" s="28">
        <f>B238</f>
        <v>-500</v>
      </c>
    </row>
    <row r="238" spans="1:2" s="19" customFormat="1" ht="14.25">
      <c r="A238" s="23" t="s">
        <v>8</v>
      </c>
      <c r="B238" s="28">
        <v>-500</v>
      </c>
    </row>
    <row r="239" spans="1:2" s="19" customFormat="1" ht="14.25">
      <c r="A239" s="23"/>
      <c r="B239" s="29"/>
    </row>
    <row r="240" spans="1:2" s="19" customFormat="1" ht="14.25">
      <c r="A240" s="21" t="s">
        <v>5</v>
      </c>
      <c r="B240" s="28">
        <f>B241</f>
        <v>500</v>
      </c>
    </row>
    <row r="241" spans="1:2" s="19" customFormat="1" ht="14.25">
      <c r="A241" s="23" t="s">
        <v>6</v>
      </c>
      <c r="B241" s="28">
        <v>500</v>
      </c>
    </row>
    <row r="242" spans="1:2" s="19" customFormat="1" ht="14.25">
      <c r="A242" s="23"/>
      <c r="B242" s="28"/>
    </row>
    <row r="243" spans="1:2" s="19" customFormat="1" ht="57">
      <c r="A243" s="23" t="s">
        <v>67</v>
      </c>
      <c r="B243" s="28"/>
    </row>
    <row r="244" spans="1:2" ht="14.25">
      <c r="A244" s="2"/>
      <c r="B244" s="3"/>
    </row>
    <row r="245" spans="1:2" ht="15">
      <c r="A245" s="17" t="s">
        <v>12</v>
      </c>
      <c r="B245" s="24">
        <f>B247</f>
        <v>0</v>
      </c>
    </row>
    <row r="246" spans="1:2" ht="14.25">
      <c r="A246" s="2"/>
      <c r="B246" s="3"/>
    </row>
    <row r="247" spans="1:2" s="19" customFormat="1" ht="15">
      <c r="A247" s="17" t="s">
        <v>84</v>
      </c>
      <c r="B247" s="24">
        <f>B249+B255</f>
        <v>0</v>
      </c>
    </row>
    <row r="248" spans="1:2" s="26" customFormat="1" ht="15">
      <c r="A248" s="27"/>
      <c r="B248" s="28"/>
    </row>
    <row r="249" spans="1:2" s="26" customFormat="1" ht="15">
      <c r="A249" s="21" t="s">
        <v>3</v>
      </c>
      <c r="B249" s="29">
        <f>SUM(B250:B253)</f>
        <v>-25324</v>
      </c>
    </row>
    <row r="250" spans="1:2" s="26" customFormat="1" ht="15">
      <c r="A250" s="23" t="s">
        <v>7</v>
      </c>
      <c r="B250" s="28">
        <v>-19480</v>
      </c>
    </row>
    <row r="251" spans="1:2" s="26" customFormat="1" ht="15">
      <c r="A251" s="23" t="s">
        <v>49</v>
      </c>
      <c r="B251" s="28">
        <v>-1851</v>
      </c>
    </row>
    <row r="252" spans="1:2" s="26" customFormat="1" ht="15">
      <c r="A252" s="23" t="s">
        <v>9</v>
      </c>
      <c r="B252" s="28">
        <v>-3701</v>
      </c>
    </row>
    <row r="253" spans="1:2" s="26" customFormat="1" ht="15">
      <c r="A253" s="23" t="s">
        <v>40</v>
      </c>
      <c r="B253" s="28">
        <v>-292</v>
      </c>
    </row>
    <row r="254" spans="1:2" s="26" customFormat="1" ht="15">
      <c r="A254" s="23"/>
      <c r="B254" s="28"/>
    </row>
    <row r="255" spans="1:2" s="19" customFormat="1" ht="14.25">
      <c r="A255" s="21" t="s">
        <v>5</v>
      </c>
      <c r="B255" s="29">
        <f>SUM(B256:B258)</f>
        <v>25324</v>
      </c>
    </row>
    <row r="256" spans="1:2" s="26" customFormat="1" ht="15">
      <c r="A256" s="23" t="s">
        <v>8</v>
      </c>
      <c r="B256" s="28">
        <v>7792</v>
      </c>
    </row>
    <row r="257" spans="1:2" s="26" customFormat="1" ht="15">
      <c r="A257" s="23" t="s">
        <v>4</v>
      </c>
      <c r="B257" s="28">
        <v>3896</v>
      </c>
    </row>
    <row r="258" spans="1:2" s="19" customFormat="1" ht="14.25">
      <c r="A258" s="23" t="s">
        <v>6</v>
      </c>
      <c r="B258" s="28">
        <v>13636</v>
      </c>
    </row>
    <row r="259" spans="1:2" s="19" customFormat="1" ht="14.25">
      <c r="A259" s="23"/>
      <c r="B259" s="28"/>
    </row>
    <row r="260" spans="1:2" s="19" customFormat="1" ht="64.5" customHeight="1">
      <c r="A260" s="23" t="s">
        <v>85</v>
      </c>
      <c r="B260" s="28"/>
    </row>
    <row r="261" spans="1:2" s="19" customFormat="1" ht="14.25">
      <c r="A261" s="23"/>
      <c r="B261" s="28"/>
    </row>
    <row r="262" spans="1:2" s="19" customFormat="1" ht="14.25">
      <c r="A262" s="23"/>
      <c r="B262" s="28"/>
    </row>
    <row r="263" spans="1:2" s="19" customFormat="1" ht="15">
      <c r="A263" s="42" t="s">
        <v>17</v>
      </c>
      <c r="B263" s="18">
        <f>+B355+B355</f>
        <v>0</v>
      </c>
    </row>
    <row r="264" spans="1:2" ht="18" customHeight="1">
      <c r="A264" s="13"/>
      <c r="B264" s="8"/>
    </row>
    <row r="265" spans="1:2" ht="15" customHeight="1">
      <c r="A265" s="13"/>
      <c r="B265" s="8"/>
    </row>
    <row r="266" spans="1:2" s="19" customFormat="1" ht="15">
      <c r="A266" s="17" t="s">
        <v>41</v>
      </c>
      <c r="B266" s="24">
        <f>B268+B283+B298+B308+B345</f>
        <v>0</v>
      </c>
    </row>
    <row r="267" spans="1:2" ht="14.25">
      <c r="A267" s="7"/>
      <c r="B267" s="8"/>
    </row>
    <row r="268" spans="1:2" s="26" customFormat="1" ht="15.75">
      <c r="A268" s="17" t="s">
        <v>43</v>
      </c>
      <c r="B268" s="24">
        <f>B270+B276</f>
        <v>0</v>
      </c>
    </row>
    <row r="269" spans="1:2" s="19" customFormat="1" ht="17.25" customHeight="1">
      <c r="A269" s="27"/>
      <c r="B269" s="28"/>
    </row>
    <row r="270" spans="1:2" s="19" customFormat="1" ht="14.25">
      <c r="A270" s="21" t="s">
        <v>3</v>
      </c>
      <c r="B270" s="29">
        <f>SUM(B271:B274)</f>
        <v>-76807</v>
      </c>
    </row>
    <row r="271" spans="1:2" s="19" customFormat="1" ht="14.25">
      <c r="A271" s="23" t="s">
        <v>44</v>
      </c>
      <c r="B271" s="28">
        <v>-53429</v>
      </c>
    </row>
    <row r="272" spans="1:2" s="19" customFormat="1" ht="14.25">
      <c r="A272" s="23" t="s">
        <v>21</v>
      </c>
      <c r="B272" s="28">
        <v>-2600</v>
      </c>
    </row>
    <row r="273" spans="1:2" s="19" customFormat="1" ht="14.25">
      <c r="A273" s="23" t="s">
        <v>6</v>
      </c>
      <c r="B273" s="28">
        <f>-23273+3320</f>
        <v>-19953</v>
      </c>
    </row>
    <row r="274" spans="1:2" s="19" customFormat="1" ht="14.25">
      <c r="A274" s="23" t="s">
        <v>27</v>
      </c>
      <c r="B274" s="28">
        <f>-825</f>
        <v>-825</v>
      </c>
    </row>
    <row r="275" spans="1:2" s="19" customFormat="1" ht="14.25">
      <c r="A275" s="23"/>
      <c r="B275" s="28"/>
    </row>
    <row r="276" spans="1:2" s="19" customFormat="1" ht="14.25">
      <c r="A276" s="21" t="s">
        <v>5</v>
      </c>
      <c r="B276" s="29">
        <f>SUM(B277:B279)</f>
        <v>76807</v>
      </c>
    </row>
    <row r="277" spans="1:2" s="19" customFormat="1" ht="14.25">
      <c r="A277" s="23" t="s">
        <v>8</v>
      </c>
      <c r="B277" s="28">
        <f>-3000+50850</f>
        <v>47850</v>
      </c>
    </row>
    <row r="278" spans="1:2" s="19" customFormat="1" ht="14.25">
      <c r="A278" s="23" t="s">
        <v>7</v>
      </c>
      <c r="B278" s="28">
        <v>1000</v>
      </c>
    </row>
    <row r="279" spans="1:2" s="19" customFormat="1" ht="14.25">
      <c r="A279" s="23" t="s">
        <v>4</v>
      </c>
      <c r="B279" s="28">
        <v>27957</v>
      </c>
    </row>
    <row r="280" spans="1:2" s="30" customFormat="1" ht="15.75" customHeight="1">
      <c r="A280" s="25"/>
      <c r="B280" s="20"/>
    </row>
    <row r="281" spans="1:2" s="19" customFormat="1" ht="42.75">
      <c r="A281" s="25" t="s">
        <v>65</v>
      </c>
      <c r="B281" s="20"/>
    </row>
    <row r="282" spans="1:2" ht="14.25">
      <c r="A282" s="7"/>
      <c r="B282" s="8"/>
    </row>
    <row r="283" spans="1:2" s="26" customFormat="1" ht="15.75">
      <c r="A283" s="17" t="s">
        <v>46</v>
      </c>
      <c r="B283" s="24">
        <f>B285+B291</f>
        <v>0</v>
      </c>
    </row>
    <row r="284" spans="1:2" s="19" customFormat="1" ht="17.25" customHeight="1">
      <c r="A284" s="27"/>
      <c r="B284" s="28"/>
    </row>
    <row r="285" spans="1:2" s="19" customFormat="1" ht="14.25">
      <c r="A285" s="21" t="s">
        <v>3</v>
      </c>
      <c r="B285" s="29">
        <f>SUM(B286:B289)</f>
        <v>-35848</v>
      </c>
    </row>
    <row r="286" spans="1:2" s="19" customFormat="1" ht="14.25">
      <c r="A286" s="23" t="s">
        <v>44</v>
      </c>
      <c r="B286" s="28">
        <f>-7094</f>
        <v>-7094</v>
      </c>
    </row>
    <row r="287" spans="1:2" s="19" customFormat="1" ht="14.25">
      <c r="A287" s="23" t="s">
        <v>8</v>
      </c>
      <c r="B287" s="28">
        <f>-9800+9700-21534+3194</f>
        <v>-18440</v>
      </c>
    </row>
    <row r="288" spans="1:2" s="19" customFormat="1" ht="14.25">
      <c r="A288" s="23" t="s">
        <v>21</v>
      </c>
      <c r="B288" s="28">
        <f>-1000-9513+373</f>
        <v>-10140</v>
      </c>
    </row>
    <row r="289" spans="1:2" s="19" customFormat="1" ht="14.25">
      <c r="A289" s="23" t="s">
        <v>27</v>
      </c>
      <c r="B289" s="28">
        <f>-244+70</f>
        <v>-174</v>
      </c>
    </row>
    <row r="290" spans="1:2" s="19" customFormat="1" ht="14.25">
      <c r="A290" s="23"/>
      <c r="B290" s="28"/>
    </row>
    <row r="291" spans="1:2" s="19" customFormat="1" ht="14.25">
      <c r="A291" s="21" t="s">
        <v>5</v>
      </c>
      <c r="B291" s="29">
        <f>SUM(B292:B294)</f>
        <v>35848</v>
      </c>
    </row>
    <row r="292" spans="1:2" s="19" customFormat="1" ht="14.25">
      <c r="A292" s="23" t="s">
        <v>7</v>
      </c>
      <c r="B292" s="28">
        <v>6000</v>
      </c>
    </row>
    <row r="293" spans="1:2" s="19" customFormat="1" ht="14.25">
      <c r="A293" s="23" t="s">
        <v>4</v>
      </c>
      <c r="B293" s="28">
        <f>2500+4913</f>
        <v>7413</v>
      </c>
    </row>
    <row r="294" spans="1:2" s="19" customFormat="1" ht="14.25">
      <c r="A294" s="23" t="s">
        <v>6</v>
      </c>
      <c r="B294" s="28">
        <f>-3080+1680-5415+29250</f>
        <v>22435</v>
      </c>
    </row>
    <row r="295" spans="1:2" s="30" customFormat="1" ht="15.75" customHeight="1">
      <c r="A295" s="25"/>
      <c r="B295" s="20"/>
    </row>
    <row r="296" spans="1:2" s="19" customFormat="1" ht="57">
      <c r="A296" s="25" t="s">
        <v>88</v>
      </c>
      <c r="B296" s="20"/>
    </row>
    <row r="297" spans="1:2" s="19" customFormat="1" ht="14.25">
      <c r="A297" s="25"/>
      <c r="B297" s="20"/>
    </row>
    <row r="298" spans="1:2" s="26" customFormat="1" ht="15.75">
      <c r="A298" s="17" t="s">
        <v>57</v>
      </c>
      <c r="B298" s="24">
        <f>B300+B303</f>
        <v>0</v>
      </c>
    </row>
    <row r="299" spans="1:2" s="19" customFormat="1" ht="17.25" customHeight="1">
      <c r="A299" s="27"/>
      <c r="B299" s="28"/>
    </row>
    <row r="300" spans="1:2" s="19" customFormat="1" ht="14.25">
      <c r="A300" s="21" t="s">
        <v>3</v>
      </c>
      <c r="B300" s="29">
        <f>SUM(B301:B302)</f>
        <v>-1000</v>
      </c>
    </row>
    <row r="301" spans="1:2" s="19" customFormat="1" ht="14.25">
      <c r="A301" s="23" t="s">
        <v>21</v>
      </c>
      <c r="B301" s="28">
        <f>-1000</f>
        <v>-1000</v>
      </c>
    </row>
    <row r="302" spans="1:2" s="19" customFormat="1" ht="14.25">
      <c r="A302" s="23"/>
      <c r="B302" s="28"/>
    </row>
    <row r="303" spans="1:2" s="19" customFormat="1" ht="14.25">
      <c r="A303" s="21" t="s">
        <v>5</v>
      </c>
      <c r="B303" s="29">
        <f>SUM(B304:B304)</f>
        <v>1000</v>
      </c>
    </row>
    <row r="304" spans="1:2" s="19" customFormat="1" ht="14.25">
      <c r="A304" s="23" t="s">
        <v>6</v>
      </c>
      <c r="B304" s="28">
        <v>1000</v>
      </c>
    </row>
    <row r="305" spans="1:2" s="30" customFormat="1" ht="15.75" customHeight="1">
      <c r="A305" s="25"/>
      <c r="B305" s="20"/>
    </row>
    <row r="306" spans="1:2" s="19" customFormat="1" ht="42.75">
      <c r="A306" s="25" t="s">
        <v>65</v>
      </c>
      <c r="B306" s="20"/>
    </row>
    <row r="307" spans="1:2" ht="18" customHeight="1">
      <c r="A307" s="13"/>
      <c r="B307" s="8"/>
    </row>
    <row r="308" spans="1:2" s="26" customFormat="1" ht="15.75">
      <c r="A308" s="17" t="s">
        <v>42</v>
      </c>
      <c r="B308" s="24">
        <f>B310+B314</f>
        <v>0</v>
      </c>
    </row>
    <row r="309" spans="1:2" s="19" customFormat="1" ht="17.25" customHeight="1">
      <c r="A309" s="27"/>
      <c r="B309" s="28"/>
    </row>
    <row r="310" spans="1:2" s="19" customFormat="1" ht="14.25">
      <c r="A310" s="21" t="s">
        <v>3</v>
      </c>
      <c r="B310" s="29">
        <f>SUM(B311:B312)</f>
        <v>-8966</v>
      </c>
    </row>
    <row r="311" spans="1:2" s="19" customFormat="1" ht="14.25">
      <c r="A311" s="23" t="s">
        <v>44</v>
      </c>
      <c r="B311" s="28">
        <f>-230-1000-600-200-200-5000</f>
        <v>-7230</v>
      </c>
    </row>
    <row r="312" spans="1:2" s="19" customFormat="1" ht="14.25">
      <c r="A312" s="23" t="s">
        <v>4</v>
      </c>
      <c r="B312" s="28">
        <f>-607-1129</f>
        <v>-1736</v>
      </c>
    </row>
    <row r="313" spans="1:2" s="19" customFormat="1" ht="14.25">
      <c r="A313" s="23"/>
      <c r="B313" s="28"/>
    </row>
    <row r="314" spans="1:2" s="19" customFormat="1" ht="14.25">
      <c r="A314" s="21" t="s">
        <v>5</v>
      </c>
      <c r="B314" s="29">
        <f>SUM(B315:B320)</f>
        <v>8966</v>
      </c>
    </row>
    <row r="315" spans="1:2" s="19" customFormat="1" ht="14.25">
      <c r="A315" s="23" t="s">
        <v>20</v>
      </c>
      <c r="B315" s="28">
        <v>512</v>
      </c>
    </row>
    <row r="316" spans="1:2" s="19" customFormat="1" ht="14.25">
      <c r="A316" s="23" t="s">
        <v>8</v>
      </c>
      <c r="B316" s="28">
        <v>4000</v>
      </c>
    </row>
    <row r="317" spans="1:2" s="19" customFormat="1" ht="14.25">
      <c r="A317" s="23" t="s">
        <v>21</v>
      </c>
      <c r="B317" s="28">
        <v>1000</v>
      </c>
    </row>
    <row r="318" spans="1:2" s="19" customFormat="1" ht="14.25">
      <c r="A318" s="23" t="s">
        <v>6</v>
      </c>
      <c r="B318" s="28">
        <f>-512+2129</f>
        <v>1617</v>
      </c>
    </row>
    <row r="319" spans="1:2" s="19" customFormat="1" ht="14.25">
      <c r="A319" s="23" t="s">
        <v>27</v>
      </c>
      <c r="B319" s="28">
        <v>1000</v>
      </c>
    </row>
    <row r="320" spans="1:2" s="19" customFormat="1" ht="14.25">
      <c r="A320" s="23" t="s">
        <v>9</v>
      </c>
      <c r="B320" s="28">
        <f>230+607</f>
        <v>837</v>
      </c>
    </row>
    <row r="321" spans="1:2" s="30" customFormat="1" ht="15.75" customHeight="1">
      <c r="A321" s="25"/>
      <c r="B321" s="20"/>
    </row>
    <row r="322" spans="1:2" s="19" customFormat="1" ht="114">
      <c r="A322" s="25" t="s">
        <v>87</v>
      </c>
      <c r="B322" s="20"/>
    </row>
    <row r="323" spans="1:2" s="19" customFormat="1" ht="17.25" customHeight="1">
      <c r="A323" s="25"/>
      <c r="B323" s="20"/>
    </row>
    <row r="324" spans="1:2" s="26" customFormat="1" ht="15.75">
      <c r="A324" s="17" t="s">
        <v>89</v>
      </c>
      <c r="B324" s="24">
        <f>B326+B329</f>
        <v>0</v>
      </c>
    </row>
    <row r="325" spans="1:2" s="19" customFormat="1" ht="12" customHeight="1">
      <c r="A325" s="27"/>
      <c r="B325" s="28"/>
    </row>
    <row r="326" spans="1:2" s="19" customFormat="1" ht="14.25">
      <c r="A326" s="21" t="s">
        <v>3</v>
      </c>
      <c r="B326" s="29">
        <f>SUM(B327:B328)</f>
        <v>-623</v>
      </c>
    </row>
    <row r="327" spans="1:2" s="19" customFormat="1" ht="14.25">
      <c r="A327" s="23" t="s">
        <v>44</v>
      </c>
      <c r="B327" s="28">
        <f>-623</f>
        <v>-623</v>
      </c>
    </row>
    <row r="328" spans="1:2" s="19" customFormat="1" ht="14.25">
      <c r="A328" s="23"/>
      <c r="B328" s="28"/>
    </row>
    <row r="329" spans="1:2" s="19" customFormat="1" ht="14.25">
      <c r="A329" s="21" t="s">
        <v>5</v>
      </c>
      <c r="B329" s="45">
        <f>SUM(B330:B330)</f>
        <v>623</v>
      </c>
    </row>
    <row r="330" spans="1:2" s="19" customFormat="1" ht="14.25">
      <c r="A330" s="23" t="s">
        <v>8</v>
      </c>
      <c r="B330" s="28">
        <v>623</v>
      </c>
    </row>
    <row r="331" spans="1:2" s="30" customFormat="1" ht="15.75" customHeight="1">
      <c r="A331" s="25"/>
      <c r="B331" s="20"/>
    </row>
    <row r="332" spans="1:2" ht="42.75">
      <c r="A332" s="25" t="s">
        <v>90</v>
      </c>
      <c r="B332" s="8"/>
    </row>
    <row r="333" spans="1:2" ht="18" customHeight="1">
      <c r="A333" s="13"/>
      <c r="B333" s="8"/>
    </row>
    <row r="334" spans="1:2" s="26" customFormat="1" ht="30">
      <c r="A334" s="17" t="s">
        <v>91</v>
      </c>
      <c r="B334" s="24">
        <f>B336+B340</f>
        <v>0</v>
      </c>
    </row>
    <row r="335" spans="1:2" s="19" customFormat="1" ht="12" customHeight="1">
      <c r="A335" s="27"/>
      <c r="B335" s="28"/>
    </row>
    <row r="336" spans="1:2" s="19" customFormat="1" ht="14.25">
      <c r="A336" s="21" t="s">
        <v>3</v>
      </c>
      <c r="B336" s="29">
        <f>SUM(B337:B338)</f>
        <v>-3297</v>
      </c>
    </row>
    <row r="337" spans="1:2" s="19" customFormat="1" ht="14.25">
      <c r="A337" s="23" t="s">
        <v>44</v>
      </c>
      <c r="B337" s="28">
        <f>-1582</f>
        <v>-1582</v>
      </c>
    </row>
    <row r="338" spans="1:2" s="19" customFormat="1" ht="14.25">
      <c r="A338" s="23" t="s">
        <v>21</v>
      </c>
      <c r="B338" s="28">
        <f>-1715</f>
        <v>-1715</v>
      </c>
    </row>
    <row r="339" spans="1:2" s="19" customFormat="1" ht="14.25">
      <c r="A339" s="23"/>
      <c r="B339" s="28"/>
    </row>
    <row r="340" spans="1:2" s="19" customFormat="1" ht="14.25">
      <c r="A340" s="21" t="s">
        <v>5</v>
      </c>
      <c r="B340" s="45">
        <f>SUM(B341:B341)</f>
        <v>3297</v>
      </c>
    </row>
    <row r="341" spans="1:2" s="19" customFormat="1" ht="14.25">
      <c r="A341" s="23" t="s">
        <v>6</v>
      </c>
      <c r="B341" s="28">
        <f>-1000+4297</f>
        <v>3297</v>
      </c>
    </row>
    <row r="342" spans="1:2" s="30" customFormat="1" ht="15.75" customHeight="1">
      <c r="A342" s="25"/>
      <c r="B342" s="20"/>
    </row>
    <row r="343" spans="1:2" ht="42.75">
      <c r="A343" s="25" t="s">
        <v>90</v>
      </c>
      <c r="B343" s="8"/>
    </row>
    <row r="344" spans="1:2" ht="14.25">
      <c r="A344" s="7"/>
      <c r="B344" s="8"/>
    </row>
    <row r="345" spans="1:2" s="26" customFormat="1" ht="15.75">
      <c r="A345" s="17" t="s">
        <v>58</v>
      </c>
      <c r="B345" s="24">
        <f>B347+B350</f>
        <v>0</v>
      </c>
    </row>
    <row r="346" spans="1:2" s="19" customFormat="1" ht="17.25" customHeight="1">
      <c r="A346" s="27"/>
      <c r="B346" s="28"/>
    </row>
    <row r="347" spans="1:2" s="19" customFormat="1" ht="14.25">
      <c r="A347" s="21" t="s">
        <v>3</v>
      </c>
      <c r="B347" s="29">
        <f>SUM(B348:B349)</f>
        <v>-1100</v>
      </c>
    </row>
    <row r="348" spans="1:2" s="19" customFormat="1" ht="14.25">
      <c r="A348" s="23" t="s">
        <v>6</v>
      </c>
      <c r="B348" s="28">
        <v>-1100</v>
      </c>
    </row>
    <row r="349" spans="1:2" s="19" customFormat="1" ht="14.25">
      <c r="A349" s="23"/>
      <c r="B349" s="28"/>
    </row>
    <row r="350" spans="1:2" s="19" customFormat="1" ht="14.25">
      <c r="A350" s="21" t="s">
        <v>5</v>
      </c>
      <c r="B350" s="45">
        <f>SUM(B351:B351)</f>
        <v>1100</v>
      </c>
    </row>
    <row r="351" spans="1:2" s="19" customFormat="1" ht="14.25">
      <c r="A351" s="23" t="s">
        <v>13</v>
      </c>
      <c r="B351" s="28">
        <v>1100</v>
      </c>
    </row>
    <row r="352" spans="1:2" s="30" customFormat="1" ht="15.75" customHeight="1">
      <c r="A352" s="25"/>
      <c r="B352" s="20"/>
    </row>
    <row r="353" spans="1:2" ht="42.75">
      <c r="A353" s="25" t="s">
        <v>65</v>
      </c>
      <c r="B353" s="8"/>
    </row>
    <row r="354" spans="1:2" ht="18" customHeight="1">
      <c r="A354" s="13"/>
      <c r="B354" s="8"/>
    </row>
    <row r="355" spans="1:2" s="19" customFormat="1" ht="15">
      <c r="A355" s="17" t="s">
        <v>12</v>
      </c>
      <c r="B355" s="24">
        <f>B357+B374+B390</f>
        <v>0</v>
      </c>
    </row>
    <row r="356" spans="1:2" s="19" customFormat="1" ht="14.25">
      <c r="A356" s="25"/>
      <c r="B356" s="20"/>
    </row>
    <row r="357" spans="1:2" s="26" customFormat="1" ht="15.75">
      <c r="A357" s="17" t="s">
        <v>30</v>
      </c>
      <c r="B357" s="24">
        <f>B359+B366</f>
        <v>0</v>
      </c>
    </row>
    <row r="358" spans="1:2" s="19" customFormat="1" ht="17.25" customHeight="1">
      <c r="A358" s="27"/>
      <c r="B358" s="28"/>
    </row>
    <row r="359" spans="1:2" s="19" customFormat="1" ht="14.25">
      <c r="A359" s="21" t="s">
        <v>3</v>
      </c>
      <c r="B359" s="29">
        <f>SUM(B360:B364)</f>
        <v>-47200</v>
      </c>
    </row>
    <row r="360" spans="1:2" s="19" customFormat="1" ht="14.25">
      <c r="A360" s="23" t="s">
        <v>44</v>
      </c>
      <c r="B360" s="28">
        <v>-8500</v>
      </c>
    </row>
    <row r="361" spans="1:2" ht="14.25">
      <c r="A361" s="23" t="s">
        <v>48</v>
      </c>
      <c r="B361" s="28">
        <v>-2900</v>
      </c>
    </row>
    <row r="362" spans="1:2" s="19" customFormat="1" ht="14.25">
      <c r="A362" s="23" t="s">
        <v>32</v>
      </c>
      <c r="B362" s="28">
        <f>-15000-4000-4000</f>
        <v>-23000</v>
      </c>
    </row>
    <row r="363" spans="1:2" s="19" customFormat="1" ht="14.25">
      <c r="A363" s="23" t="s">
        <v>7</v>
      </c>
      <c r="B363" s="28">
        <f>5000+2900-7000-17300+5000</f>
        <v>-11400</v>
      </c>
    </row>
    <row r="364" spans="1:2" s="19" customFormat="1" ht="14.25">
      <c r="A364" s="23" t="s">
        <v>4</v>
      </c>
      <c r="B364" s="28">
        <f>2000-1000-2400</f>
        <v>-1400</v>
      </c>
    </row>
    <row r="365" spans="1:2" ht="14.25">
      <c r="A365" s="2"/>
      <c r="B365" s="3"/>
    </row>
    <row r="366" spans="1:2" s="19" customFormat="1" ht="14.25">
      <c r="A366" s="21" t="s">
        <v>5</v>
      </c>
      <c r="B366" s="29">
        <f>SUM(B367:B370)</f>
        <v>47200</v>
      </c>
    </row>
    <row r="367" spans="1:2" s="19" customFormat="1" ht="14.25">
      <c r="A367" s="25" t="s">
        <v>8</v>
      </c>
      <c r="B367" s="28">
        <f>3500+5000+21000+4000-1100-1400+900</f>
        <v>31900</v>
      </c>
    </row>
    <row r="368" spans="1:2" s="19" customFormat="1" ht="14.25">
      <c r="A368" s="23" t="s">
        <v>6</v>
      </c>
      <c r="B368" s="28">
        <f>9000-1000-700+800+1900+1500+1400+700</f>
        <v>13600</v>
      </c>
    </row>
    <row r="369" spans="1:2" s="19" customFormat="1" ht="14.25">
      <c r="A369" s="23" t="s">
        <v>27</v>
      </c>
      <c r="B369" s="28">
        <f>2000-800+200</f>
        <v>1400</v>
      </c>
    </row>
    <row r="370" spans="1:2" s="19" customFormat="1" ht="14.25">
      <c r="A370" s="23" t="s">
        <v>40</v>
      </c>
      <c r="B370" s="28">
        <v>300</v>
      </c>
    </row>
    <row r="371" spans="1:2" s="16" customFormat="1" ht="15.75" customHeight="1">
      <c r="A371" s="7"/>
      <c r="B371" s="8"/>
    </row>
    <row r="372" spans="1:2" ht="114">
      <c r="A372" s="25" t="s">
        <v>74</v>
      </c>
      <c r="B372" s="8"/>
    </row>
    <row r="373" spans="1:2" ht="14.25">
      <c r="A373" s="2"/>
      <c r="B373" s="3"/>
    </row>
    <row r="374" spans="1:2" s="26" customFormat="1" ht="15.75">
      <c r="A374" s="17" t="s">
        <v>35</v>
      </c>
      <c r="B374" s="24">
        <f>B376+B382</f>
        <v>0</v>
      </c>
    </row>
    <row r="375" spans="1:2" s="19" customFormat="1" ht="17.25" customHeight="1">
      <c r="A375" s="27"/>
      <c r="B375" s="28"/>
    </row>
    <row r="376" spans="1:2" s="19" customFormat="1" ht="14.25">
      <c r="A376" s="21" t="s">
        <v>3</v>
      </c>
      <c r="B376" s="29">
        <f>SUM(B377:B380)</f>
        <v>-72500</v>
      </c>
    </row>
    <row r="377" spans="1:2" s="19" customFormat="1" ht="14.25">
      <c r="A377" s="23" t="s">
        <v>44</v>
      </c>
      <c r="B377" s="28">
        <v>-39000</v>
      </c>
    </row>
    <row r="378" spans="1:2" s="19" customFormat="1" ht="14.25">
      <c r="A378" s="23" t="s">
        <v>32</v>
      </c>
      <c r="B378" s="28">
        <v>-25000</v>
      </c>
    </row>
    <row r="379" spans="1:2" s="30" customFormat="1" ht="15.75">
      <c r="A379" s="23" t="s">
        <v>7</v>
      </c>
      <c r="B379" s="28">
        <f>3000-8000</f>
        <v>-5000</v>
      </c>
    </row>
    <row r="380" spans="1:2" s="19" customFormat="1" ht="14.25">
      <c r="A380" s="23" t="s">
        <v>27</v>
      </c>
      <c r="B380" s="28">
        <v>-3500</v>
      </c>
    </row>
    <row r="381" spans="1:2" s="19" customFormat="1" ht="14.25">
      <c r="A381" s="23"/>
      <c r="B381" s="28"/>
    </row>
    <row r="382" spans="1:2" s="19" customFormat="1" ht="14.25">
      <c r="A382" s="21" t="s">
        <v>5</v>
      </c>
      <c r="B382" s="29">
        <f>SUM(B383:B386)</f>
        <v>72500</v>
      </c>
    </row>
    <row r="383" spans="1:2" s="19" customFormat="1" ht="14.25">
      <c r="A383" s="23" t="s">
        <v>8</v>
      </c>
      <c r="B383" s="28">
        <f>2000+28500</f>
        <v>30500</v>
      </c>
    </row>
    <row r="384" spans="1:2" s="19" customFormat="1" ht="14.25">
      <c r="A384" s="23" t="s">
        <v>4</v>
      </c>
      <c r="B384" s="28">
        <f>39000-2000</f>
        <v>37000</v>
      </c>
    </row>
    <row r="385" spans="1:2" s="19" customFormat="1" ht="14.25">
      <c r="A385" s="23" t="s">
        <v>6</v>
      </c>
      <c r="B385" s="28">
        <f>-3000+7898</f>
        <v>4898</v>
      </c>
    </row>
    <row r="386" spans="1:2" s="19" customFormat="1" ht="14.25">
      <c r="A386" s="23" t="s">
        <v>9</v>
      </c>
      <c r="B386" s="28">
        <v>102</v>
      </c>
    </row>
    <row r="387" spans="1:2" s="30" customFormat="1" ht="17.25" customHeight="1">
      <c r="A387" s="25"/>
      <c r="B387" s="20"/>
    </row>
    <row r="388" spans="1:2" s="19" customFormat="1" ht="99.75">
      <c r="A388" s="25" t="s">
        <v>95</v>
      </c>
      <c r="B388" s="20"/>
    </row>
    <row r="389" spans="1:2" ht="20.25" customHeight="1">
      <c r="A389" s="2"/>
      <c r="B389" s="3"/>
    </row>
    <row r="390" spans="1:2" s="26" customFormat="1" ht="15.75">
      <c r="A390" s="17" t="s">
        <v>73</v>
      </c>
      <c r="B390" s="24">
        <f>B392+B397</f>
        <v>0</v>
      </c>
    </row>
    <row r="391" spans="1:2" s="19" customFormat="1" ht="17.25" customHeight="1">
      <c r="A391" s="27"/>
      <c r="B391" s="28"/>
    </row>
    <row r="392" spans="1:2" s="19" customFormat="1" ht="14.25">
      <c r="A392" s="21" t="s">
        <v>3</v>
      </c>
      <c r="B392" s="29">
        <f>SUM(B393:B395)</f>
        <v>-3135</v>
      </c>
    </row>
    <row r="393" spans="1:2" s="19" customFormat="1" ht="14.25">
      <c r="A393" s="23" t="s">
        <v>4</v>
      </c>
      <c r="B393" s="28">
        <v>-2800</v>
      </c>
    </row>
    <row r="394" spans="1:2" ht="14.25">
      <c r="A394" s="23" t="s">
        <v>9</v>
      </c>
      <c r="B394" s="28">
        <v>-229</v>
      </c>
    </row>
    <row r="395" spans="1:2" s="19" customFormat="1" ht="14.25">
      <c r="A395" s="23" t="s">
        <v>40</v>
      </c>
      <c r="B395" s="28">
        <v>-106</v>
      </c>
    </row>
    <row r="396" spans="1:2" ht="14.25">
      <c r="A396" s="2"/>
      <c r="B396" s="3"/>
    </row>
    <row r="397" spans="1:2" s="19" customFormat="1" ht="14.25">
      <c r="A397" s="21" t="s">
        <v>5</v>
      </c>
      <c r="B397" s="29">
        <f>SUM(B398:B398)</f>
        <v>3135</v>
      </c>
    </row>
    <row r="398" spans="1:2" s="19" customFormat="1" ht="14.25">
      <c r="A398" s="23" t="s">
        <v>6</v>
      </c>
      <c r="B398" s="28">
        <v>3135</v>
      </c>
    </row>
    <row r="399" spans="1:2" s="16" customFormat="1" ht="15.75" customHeight="1">
      <c r="A399" s="7"/>
      <c r="B399" s="8"/>
    </row>
    <row r="400" spans="1:2" ht="42.75">
      <c r="A400" s="25" t="s">
        <v>72</v>
      </c>
      <c r="B400" s="8"/>
    </row>
    <row r="401" spans="1:2" ht="14.25">
      <c r="A401" s="2"/>
      <c r="B401" s="3"/>
    </row>
    <row r="402" spans="1:2" s="19" customFormat="1" ht="15">
      <c r="A402" s="17" t="s">
        <v>19</v>
      </c>
      <c r="B402" s="24">
        <f>+B414+B426</f>
        <v>0</v>
      </c>
    </row>
    <row r="403" spans="1:2" ht="14.25">
      <c r="A403" s="7"/>
      <c r="B403" s="8"/>
    </row>
    <row r="404" spans="1:2" s="26" customFormat="1" ht="15.75">
      <c r="A404" s="17" t="s">
        <v>92</v>
      </c>
      <c r="B404" s="24">
        <f>B406+B409</f>
        <v>0</v>
      </c>
    </row>
    <row r="405" spans="1:2" s="19" customFormat="1" ht="12" customHeight="1">
      <c r="A405" s="27"/>
      <c r="B405" s="28"/>
    </row>
    <row r="406" spans="1:2" s="19" customFormat="1" ht="14.25">
      <c r="A406" s="21" t="s">
        <v>3</v>
      </c>
      <c r="B406" s="29">
        <f>SUM(B407:B407)</f>
        <v>-206</v>
      </c>
    </row>
    <row r="407" spans="1:2" s="19" customFormat="1" ht="14.25">
      <c r="A407" s="23" t="s">
        <v>44</v>
      </c>
      <c r="B407" s="28">
        <f>-206</f>
        <v>-206</v>
      </c>
    </row>
    <row r="408" spans="1:2" s="19" customFormat="1" ht="14.25">
      <c r="A408" s="23"/>
      <c r="B408" s="28"/>
    </row>
    <row r="409" spans="1:2" s="19" customFormat="1" ht="14.25">
      <c r="A409" s="21" t="s">
        <v>5</v>
      </c>
      <c r="B409" s="45">
        <f>SUM(B410:B410)</f>
        <v>206</v>
      </c>
    </row>
    <row r="410" spans="1:2" s="19" customFormat="1" ht="14.25">
      <c r="A410" s="23" t="s">
        <v>8</v>
      </c>
      <c r="B410" s="28">
        <v>206</v>
      </c>
    </row>
    <row r="411" spans="1:2" s="30" customFormat="1" ht="15.75" customHeight="1">
      <c r="A411" s="25"/>
      <c r="B411" s="20"/>
    </row>
    <row r="412" spans="1:2" ht="42.75">
      <c r="A412" s="25" t="s">
        <v>90</v>
      </c>
      <c r="B412" s="8"/>
    </row>
    <row r="413" spans="1:2" ht="14.25">
      <c r="A413" s="7"/>
      <c r="B413" s="8"/>
    </row>
    <row r="414" spans="1:2" s="26" customFormat="1" ht="15.75">
      <c r="A414" s="17" t="s">
        <v>47</v>
      </c>
      <c r="B414" s="24">
        <f>B416+B420</f>
        <v>0</v>
      </c>
    </row>
    <row r="415" spans="1:2" s="19" customFormat="1" ht="17.25" customHeight="1">
      <c r="A415" s="27"/>
      <c r="B415" s="28"/>
    </row>
    <row r="416" spans="1:2" s="19" customFormat="1" ht="14.25">
      <c r="A416" s="21" t="s">
        <v>3</v>
      </c>
      <c r="B416" s="29">
        <f>SUM(B417:B418)</f>
        <v>-12177</v>
      </c>
    </row>
    <row r="417" spans="1:2" s="19" customFormat="1" ht="14.25">
      <c r="A417" s="23" t="s">
        <v>8</v>
      </c>
      <c r="B417" s="28">
        <v>-177</v>
      </c>
    </row>
    <row r="418" spans="1:2" s="19" customFormat="1" ht="14.25">
      <c r="A418" s="23" t="s">
        <v>7</v>
      </c>
      <c r="B418" s="28">
        <v>-12000</v>
      </c>
    </row>
    <row r="419" spans="1:2" s="19" customFormat="1" ht="14.25">
      <c r="A419" s="23"/>
      <c r="B419" s="28"/>
    </row>
    <row r="420" spans="1:2" s="19" customFormat="1" ht="14.25">
      <c r="A420" s="21" t="s">
        <v>5</v>
      </c>
      <c r="B420" s="29">
        <f>SUM(B421:B422)</f>
        <v>12177</v>
      </c>
    </row>
    <row r="421" spans="1:2" s="19" customFormat="1" ht="14.25">
      <c r="A421" s="23" t="s">
        <v>32</v>
      </c>
      <c r="B421" s="28">
        <v>12000</v>
      </c>
    </row>
    <row r="422" spans="1:2" s="19" customFormat="1" ht="14.25">
      <c r="A422" s="23" t="s">
        <v>9</v>
      </c>
      <c r="B422" s="28">
        <v>177</v>
      </c>
    </row>
    <row r="423" spans="1:2" s="30" customFormat="1" ht="15.75" customHeight="1">
      <c r="A423" s="25"/>
      <c r="B423" s="20"/>
    </row>
    <row r="424" spans="1:2" s="19" customFormat="1" ht="57">
      <c r="A424" s="25" t="s">
        <v>93</v>
      </c>
      <c r="B424" s="20"/>
    </row>
    <row r="425" spans="1:2" ht="14.25">
      <c r="A425" s="7"/>
      <c r="B425" s="8"/>
    </row>
    <row r="426" spans="1:2" s="26" customFormat="1" ht="30">
      <c r="A426" s="17" t="s">
        <v>59</v>
      </c>
      <c r="B426" s="24">
        <f>B428+B434</f>
        <v>0</v>
      </c>
    </row>
    <row r="427" spans="1:2" s="19" customFormat="1" ht="17.25" customHeight="1">
      <c r="A427" s="27"/>
      <c r="B427" s="28"/>
    </row>
    <row r="428" spans="1:2" s="19" customFormat="1" ht="14.25">
      <c r="A428" s="21" t="s">
        <v>3</v>
      </c>
      <c r="B428" s="29">
        <f>SUM(B429:B432)</f>
        <v>-1931</v>
      </c>
    </row>
    <row r="429" spans="1:2" s="19" customFormat="1" ht="14.25">
      <c r="A429" s="23" t="s">
        <v>8</v>
      </c>
      <c r="B429" s="28">
        <f>-433</f>
        <v>-433</v>
      </c>
    </row>
    <row r="430" spans="1:2" s="19" customFormat="1" ht="14.25">
      <c r="A430" s="23" t="s">
        <v>21</v>
      </c>
      <c r="B430" s="28">
        <f>-500</f>
        <v>-500</v>
      </c>
    </row>
    <row r="431" spans="1:2" s="19" customFormat="1" ht="14.25">
      <c r="A431" s="23" t="s">
        <v>4</v>
      </c>
      <c r="B431" s="28">
        <v>-200</v>
      </c>
    </row>
    <row r="432" spans="1:2" s="19" customFormat="1" ht="14.25">
      <c r="A432" s="23" t="s">
        <v>6</v>
      </c>
      <c r="B432" s="28">
        <f>-798</f>
        <v>-798</v>
      </c>
    </row>
    <row r="433" spans="1:2" s="19" customFormat="1" ht="14.25">
      <c r="A433" s="23"/>
      <c r="B433" s="28"/>
    </row>
    <row r="434" spans="1:2" s="19" customFormat="1" ht="14.25">
      <c r="A434" s="21" t="s">
        <v>5</v>
      </c>
      <c r="B434" s="29">
        <f>SUM(B435:B437)</f>
        <v>1931</v>
      </c>
    </row>
    <row r="435" spans="1:2" s="19" customFormat="1" ht="14.25">
      <c r="A435" s="23" t="s">
        <v>44</v>
      </c>
      <c r="B435" s="28">
        <v>200</v>
      </c>
    </row>
    <row r="436" spans="1:2" s="19" customFormat="1" ht="14.25">
      <c r="A436" s="23" t="s">
        <v>7</v>
      </c>
      <c r="B436" s="28">
        <v>100</v>
      </c>
    </row>
    <row r="437" spans="1:2" s="19" customFormat="1" ht="14.25">
      <c r="A437" s="23" t="s">
        <v>9</v>
      </c>
      <c r="B437" s="28">
        <v>1631</v>
      </c>
    </row>
    <row r="438" spans="1:2" s="30" customFormat="1" ht="15.75" customHeight="1">
      <c r="A438" s="25"/>
      <c r="B438" s="20"/>
    </row>
    <row r="439" spans="1:2" s="19" customFormat="1" ht="42.75">
      <c r="A439" s="25" t="s">
        <v>65</v>
      </c>
      <c r="B439" s="20"/>
    </row>
    <row r="440" spans="1:2" ht="14.25">
      <c r="A440" s="7"/>
      <c r="B440" s="8"/>
    </row>
    <row r="441" spans="1:2" s="26" customFormat="1" ht="15.75">
      <c r="A441" s="17" t="s">
        <v>64</v>
      </c>
      <c r="B441" s="24">
        <f>B443+B449</f>
        <v>0</v>
      </c>
    </row>
    <row r="442" spans="1:2" s="19" customFormat="1" ht="17.25" customHeight="1">
      <c r="A442" s="27"/>
      <c r="B442" s="28"/>
    </row>
    <row r="443" spans="1:2" s="19" customFormat="1" ht="14.25">
      <c r="A443" s="21" t="s">
        <v>3</v>
      </c>
      <c r="B443" s="29">
        <f>SUM(B444:B447)</f>
        <v>-15800</v>
      </c>
    </row>
    <row r="444" spans="1:2" s="19" customFormat="1" ht="14.25">
      <c r="A444" s="23" t="s">
        <v>44</v>
      </c>
      <c r="B444" s="28">
        <v>-600</v>
      </c>
    </row>
    <row r="445" spans="1:2" s="19" customFormat="1" ht="14.25">
      <c r="A445" s="23" t="s">
        <v>8</v>
      </c>
      <c r="B445" s="28">
        <f>-14000+9232</f>
        <v>-4768</v>
      </c>
    </row>
    <row r="446" spans="1:2" s="19" customFormat="1" ht="14.25">
      <c r="A446" s="23" t="s">
        <v>7</v>
      </c>
      <c r="B446" s="28">
        <f>-10000</f>
        <v>-10000</v>
      </c>
    </row>
    <row r="447" spans="1:2" s="19" customFormat="1" ht="14.25">
      <c r="A447" s="23" t="s">
        <v>9</v>
      </c>
      <c r="B447" s="28">
        <f>-432</f>
        <v>-432</v>
      </c>
    </row>
    <row r="448" spans="1:2" s="19" customFormat="1" ht="14.25">
      <c r="A448" s="23"/>
      <c r="B448" s="28"/>
    </row>
    <row r="449" spans="1:2" s="19" customFormat="1" ht="14.25">
      <c r="A449" s="21" t="s">
        <v>5</v>
      </c>
      <c r="B449" s="29">
        <f>SUM(B450:B450)</f>
        <v>15800</v>
      </c>
    </row>
    <row r="450" spans="1:2" s="19" customFormat="1" ht="14.25">
      <c r="A450" s="23" t="s">
        <v>6</v>
      </c>
      <c r="B450" s="28">
        <f>14000+600+1200</f>
        <v>15800</v>
      </c>
    </row>
    <row r="451" spans="1:2" s="30" customFormat="1" ht="15.75" customHeight="1">
      <c r="A451" s="25"/>
      <c r="B451" s="20"/>
    </row>
    <row r="452" spans="1:2" s="19" customFormat="1" ht="71.25">
      <c r="A452" s="25" t="s">
        <v>97</v>
      </c>
      <c r="B452" s="20"/>
    </row>
    <row r="453" spans="1:2" ht="14.25">
      <c r="A453" s="7"/>
      <c r="B453" s="8"/>
    </row>
    <row r="454" spans="1:2" s="26" customFormat="1" ht="15.75">
      <c r="A454" s="17" t="s">
        <v>61</v>
      </c>
      <c r="B454" s="24">
        <f>B456+B459</f>
        <v>0</v>
      </c>
    </row>
    <row r="455" spans="1:2" s="19" customFormat="1" ht="17.25" customHeight="1">
      <c r="A455" s="27"/>
      <c r="B455" s="28"/>
    </row>
    <row r="456" spans="1:2" s="19" customFormat="1" ht="14.25">
      <c r="A456" s="21" t="s">
        <v>3</v>
      </c>
      <c r="B456" s="29">
        <f>SUM(B457:B458)</f>
        <v>-250</v>
      </c>
    </row>
    <row r="457" spans="1:2" s="19" customFormat="1" ht="14.25">
      <c r="A457" s="23" t="s">
        <v>44</v>
      </c>
      <c r="B457" s="28">
        <v>-250</v>
      </c>
    </row>
    <row r="458" spans="1:2" s="19" customFormat="1" ht="14.25">
      <c r="A458" s="23"/>
      <c r="B458" s="28"/>
    </row>
    <row r="459" spans="1:2" s="19" customFormat="1" ht="14.25">
      <c r="A459" s="21" t="s">
        <v>5</v>
      </c>
      <c r="B459" s="45">
        <f>SUM(B460:B460)</f>
        <v>250</v>
      </c>
    </row>
    <row r="460" spans="1:2" s="19" customFormat="1" ht="14.25">
      <c r="A460" s="23" t="s">
        <v>6</v>
      </c>
      <c r="B460" s="28">
        <v>250</v>
      </c>
    </row>
    <row r="461" spans="1:2" s="30" customFormat="1" ht="15.75" customHeight="1">
      <c r="A461" s="25"/>
      <c r="B461" s="20"/>
    </row>
    <row r="462" spans="1:2" s="19" customFormat="1" ht="42.75">
      <c r="A462" s="25" t="s">
        <v>65</v>
      </c>
      <c r="B462" s="20"/>
    </row>
    <row r="463" spans="1:2" ht="14.25">
      <c r="A463" s="7"/>
      <c r="B463" s="8"/>
    </row>
    <row r="464" spans="1:2" s="26" customFormat="1" ht="15.75">
      <c r="A464" s="17" t="s">
        <v>60</v>
      </c>
      <c r="B464" s="24">
        <f>B466+B469</f>
        <v>0</v>
      </c>
    </row>
    <row r="465" spans="1:2" s="19" customFormat="1" ht="17.25" customHeight="1">
      <c r="A465" s="27"/>
      <c r="B465" s="28"/>
    </row>
    <row r="466" spans="1:2" s="19" customFormat="1" ht="14.25">
      <c r="A466" s="21" t="s">
        <v>3</v>
      </c>
      <c r="B466" s="29">
        <f>SUM(B467:B468)</f>
        <v>-825</v>
      </c>
    </row>
    <row r="467" spans="1:2" s="19" customFormat="1" ht="14.25">
      <c r="A467" s="23" t="s">
        <v>6</v>
      </c>
      <c r="B467" s="28">
        <v>-825</v>
      </c>
    </row>
    <row r="468" spans="1:2" s="19" customFormat="1" ht="14.25">
      <c r="A468" s="23"/>
      <c r="B468" s="28"/>
    </row>
    <row r="469" spans="1:2" s="19" customFormat="1" ht="14.25">
      <c r="A469" s="21" t="s">
        <v>5</v>
      </c>
      <c r="B469" s="45">
        <f>SUM(B470:B471)</f>
        <v>825</v>
      </c>
    </row>
    <row r="470" spans="1:2" s="19" customFormat="1" ht="14.25">
      <c r="A470" s="23" t="s">
        <v>8</v>
      </c>
      <c r="B470" s="28">
        <v>325</v>
      </c>
    </row>
    <row r="471" spans="1:2" s="19" customFormat="1" ht="14.25">
      <c r="A471" s="23" t="s">
        <v>21</v>
      </c>
      <c r="B471" s="28">
        <v>500</v>
      </c>
    </row>
    <row r="472" spans="1:2" s="30" customFormat="1" ht="15.75" customHeight="1">
      <c r="A472" s="25"/>
      <c r="B472" s="20"/>
    </row>
    <row r="473" spans="1:2" s="19" customFormat="1" ht="42.75">
      <c r="A473" s="25" t="s">
        <v>65</v>
      </c>
      <c r="B473" s="20"/>
    </row>
    <row r="474" spans="1:2" ht="14.25">
      <c r="A474" s="7"/>
      <c r="B474" s="8"/>
    </row>
    <row r="475" spans="1:2" s="19" customFormat="1" ht="15">
      <c r="A475" s="42" t="s">
        <v>45</v>
      </c>
      <c r="B475" s="24">
        <f>B477+B489+B520+B532</f>
        <v>0</v>
      </c>
    </row>
    <row r="476" spans="1:2" s="19" customFormat="1" ht="14.25">
      <c r="A476" s="25"/>
      <c r="B476" s="20"/>
    </row>
    <row r="477" spans="1:2" s="31" customFormat="1" ht="15.75">
      <c r="A477" s="17" t="s">
        <v>22</v>
      </c>
      <c r="B477" s="24">
        <f>B479</f>
        <v>0</v>
      </c>
    </row>
    <row r="478" spans="1:2" s="31" customFormat="1" ht="12" customHeight="1">
      <c r="A478" s="46"/>
      <c r="B478" s="46"/>
    </row>
    <row r="479" spans="1:2" s="31" customFormat="1" ht="15.75">
      <c r="A479" s="17" t="s">
        <v>23</v>
      </c>
      <c r="B479" s="24">
        <f>B481+B484</f>
        <v>0</v>
      </c>
    </row>
    <row r="480" spans="1:2" s="31" customFormat="1" ht="11.25" customHeight="1">
      <c r="A480" s="32"/>
      <c r="B480" s="32"/>
    </row>
    <row r="481" spans="1:2" s="31" customFormat="1" ht="15.75">
      <c r="A481" s="21" t="s">
        <v>3</v>
      </c>
      <c r="B481" s="29">
        <f>SUM(B482:B483)</f>
        <v>-140000</v>
      </c>
    </row>
    <row r="482" spans="1:4" s="19" customFormat="1" ht="14.25">
      <c r="A482" s="23" t="s">
        <v>6</v>
      </c>
      <c r="B482" s="28">
        <v>-140000</v>
      </c>
      <c r="C482" s="32"/>
      <c r="D482" s="33"/>
    </row>
    <row r="483" spans="3:4" s="19" customFormat="1" ht="12.75">
      <c r="C483" s="32"/>
      <c r="D483" s="33"/>
    </row>
    <row r="484" spans="1:4" s="19" customFormat="1" ht="14.25">
      <c r="A484" s="21" t="s">
        <v>5</v>
      </c>
      <c r="B484" s="29">
        <f>SUM(B485:B485)</f>
        <v>140000</v>
      </c>
      <c r="C484" s="32"/>
      <c r="D484" s="33"/>
    </row>
    <row r="485" spans="1:2" s="31" customFormat="1" ht="15.75">
      <c r="A485" s="23" t="s">
        <v>28</v>
      </c>
      <c r="B485" s="28">
        <v>140000</v>
      </c>
    </row>
    <row r="486" spans="2:4" s="19" customFormat="1" ht="10.5" customHeight="1">
      <c r="B486" s="31"/>
      <c r="C486" s="32"/>
      <c r="D486" s="33"/>
    </row>
    <row r="487" spans="1:4" s="19" customFormat="1" ht="28.5">
      <c r="A487" s="23" t="s">
        <v>29</v>
      </c>
      <c r="B487" s="32"/>
      <c r="C487" s="32"/>
      <c r="D487" s="33"/>
    </row>
    <row r="488" spans="1:4" ht="14.25">
      <c r="A488" s="2"/>
      <c r="B488" s="5"/>
      <c r="C488" s="5"/>
      <c r="D488" s="12"/>
    </row>
    <row r="489" spans="1:2" s="19" customFormat="1" ht="15">
      <c r="A489" s="17" t="s">
        <v>25</v>
      </c>
      <c r="B489" s="24">
        <f>B491</f>
        <v>0</v>
      </c>
    </row>
    <row r="490" spans="1:2" s="19" customFormat="1" ht="15">
      <c r="A490" s="25"/>
      <c r="B490" s="24">
        <f>B492+B495</f>
        <v>-3627</v>
      </c>
    </row>
    <row r="491" spans="1:2" s="19" customFormat="1" ht="15">
      <c r="A491" s="17" t="s">
        <v>62</v>
      </c>
      <c r="B491" s="28"/>
    </row>
    <row r="492" spans="1:2" s="19" customFormat="1" ht="14.25">
      <c r="A492" s="27"/>
      <c r="B492" s="29">
        <f>B493+B494</f>
        <v>-3627</v>
      </c>
    </row>
    <row r="493" spans="1:2" s="19" customFormat="1" ht="14.25">
      <c r="A493" s="21" t="s">
        <v>3</v>
      </c>
      <c r="B493" s="28">
        <v>0</v>
      </c>
    </row>
    <row r="494" spans="1:2" s="19" customFormat="1" ht="14.25">
      <c r="A494" s="23" t="s">
        <v>31</v>
      </c>
      <c r="B494" s="28">
        <v>-3627</v>
      </c>
    </row>
    <row r="495" spans="1:2" s="19" customFormat="1" ht="14.25">
      <c r="A495" s="23"/>
      <c r="B495" s="29"/>
    </row>
    <row r="496" spans="1:2" s="19" customFormat="1" ht="14.25">
      <c r="A496" s="21" t="s">
        <v>5</v>
      </c>
      <c r="B496" s="28">
        <f>B497</f>
        <v>3627</v>
      </c>
    </row>
    <row r="497" spans="1:2" s="19" customFormat="1" ht="14.25">
      <c r="A497" s="23" t="s">
        <v>6</v>
      </c>
      <c r="B497" s="28">
        <v>3627</v>
      </c>
    </row>
    <row r="498" spans="1:2" s="19" customFormat="1" ht="14.25">
      <c r="A498" s="23"/>
      <c r="B498" s="28"/>
    </row>
    <row r="499" spans="1:2" s="19" customFormat="1" ht="42.75">
      <c r="A499" s="23" t="s">
        <v>63</v>
      </c>
      <c r="B499" s="28"/>
    </row>
    <row r="501" spans="1:2" s="50" customFormat="1" ht="15">
      <c r="A501" s="50" t="s">
        <v>53</v>
      </c>
      <c r="B501" s="53">
        <f>B503</f>
        <v>0</v>
      </c>
    </row>
    <row r="502" s="50" customFormat="1" ht="15"/>
    <row r="503" spans="1:2" s="50" customFormat="1" ht="15">
      <c r="A503" s="50" t="s">
        <v>113</v>
      </c>
      <c r="B503" s="53">
        <f>B505+B511</f>
        <v>0</v>
      </c>
    </row>
    <row r="504" s="47" customFormat="1" ht="14.25"/>
    <row r="505" spans="1:2" s="47" customFormat="1" ht="14.25">
      <c r="A505" s="51" t="s">
        <v>3</v>
      </c>
      <c r="B505" s="52">
        <f>SUM(B506:B509)</f>
        <v>-28756</v>
      </c>
    </row>
    <row r="506" spans="1:2" s="47" customFormat="1" ht="14.25">
      <c r="A506" s="47" t="s">
        <v>44</v>
      </c>
      <c r="B506" s="48">
        <v>-11578</v>
      </c>
    </row>
    <row r="507" spans="1:2" s="47" customFormat="1" ht="14.25">
      <c r="A507" s="47" t="s">
        <v>7</v>
      </c>
      <c r="B507" s="48">
        <v>-15796</v>
      </c>
    </row>
    <row r="508" spans="1:2" s="47" customFormat="1" ht="14.25">
      <c r="A508" s="47" t="s">
        <v>4</v>
      </c>
      <c r="B508" s="48">
        <v>-997</v>
      </c>
    </row>
    <row r="509" spans="1:2" s="47" customFormat="1" ht="14.25">
      <c r="A509" s="47" t="s">
        <v>116</v>
      </c>
      <c r="B509" s="47">
        <v>-385</v>
      </c>
    </row>
    <row r="510" s="47" customFormat="1" ht="14.25"/>
    <row r="511" spans="1:2" s="47" customFormat="1" ht="14.25">
      <c r="A511" s="51" t="s">
        <v>5</v>
      </c>
      <c r="B511" s="52">
        <f>SUM(B512:B515)</f>
        <v>28756</v>
      </c>
    </row>
    <row r="512" spans="1:2" s="47" customFormat="1" ht="14.25">
      <c r="A512" s="47" t="s">
        <v>8</v>
      </c>
      <c r="B512" s="48">
        <v>5800</v>
      </c>
    </row>
    <row r="513" spans="1:2" s="47" customFormat="1" ht="14.25">
      <c r="A513" s="47" t="s">
        <v>114</v>
      </c>
      <c r="B513" s="48">
        <v>16136</v>
      </c>
    </row>
    <row r="514" spans="1:2" s="47" customFormat="1" ht="14.25">
      <c r="A514" s="47" t="s">
        <v>6</v>
      </c>
      <c r="B514" s="48">
        <v>6220</v>
      </c>
    </row>
    <row r="515" spans="1:2" s="47" customFormat="1" ht="14.25">
      <c r="A515" s="47" t="s">
        <v>27</v>
      </c>
      <c r="B515" s="48">
        <v>600</v>
      </c>
    </row>
    <row r="516" s="47" customFormat="1" ht="14.25"/>
    <row r="517" s="47" customFormat="1" ht="42.75">
      <c r="A517" s="49" t="s">
        <v>115</v>
      </c>
    </row>
    <row r="518" s="47" customFormat="1" ht="14.25"/>
    <row r="520" spans="1:2" s="19" customFormat="1" ht="15">
      <c r="A520" s="17" t="s">
        <v>12</v>
      </c>
      <c r="B520" s="24">
        <f>B522</f>
        <v>0</v>
      </c>
    </row>
    <row r="521" spans="1:2" s="19" customFormat="1" ht="14.25">
      <c r="A521" s="25"/>
      <c r="B521" s="20"/>
    </row>
    <row r="522" spans="1:2" s="26" customFormat="1" ht="15.75">
      <c r="A522" s="17" t="s">
        <v>80</v>
      </c>
      <c r="B522" s="24">
        <f>B524+B527</f>
        <v>0</v>
      </c>
    </row>
    <row r="523" spans="1:2" s="19" customFormat="1" ht="17.25" customHeight="1">
      <c r="A523" s="27"/>
      <c r="B523" s="28"/>
    </row>
    <row r="524" spans="1:2" s="19" customFormat="1" ht="14.25">
      <c r="A524" s="21" t="s">
        <v>3</v>
      </c>
      <c r="B524" s="29">
        <f>SUM(B525:B525)</f>
        <v>-2240</v>
      </c>
    </row>
    <row r="525" spans="1:2" s="19" customFormat="1" ht="14.25">
      <c r="A525" s="23" t="s">
        <v>6</v>
      </c>
      <c r="B525" s="28">
        <v>-2240</v>
      </c>
    </row>
    <row r="526" spans="1:2" ht="14.25">
      <c r="A526" s="2"/>
      <c r="B526" s="3"/>
    </row>
    <row r="527" spans="1:2" s="19" customFormat="1" ht="14.25">
      <c r="A527" s="21" t="s">
        <v>5</v>
      </c>
      <c r="B527" s="29">
        <f>SUM(B528:B528)</f>
        <v>2240</v>
      </c>
    </row>
    <row r="528" spans="1:2" s="19" customFormat="1" ht="14.25">
      <c r="A528" s="25" t="s">
        <v>8</v>
      </c>
      <c r="B528" s="28">
        <v>2240</v>
      </c>
    </row>
    <row r="529" spans="1:2" s="16" customFormat="1" ht="15.75" customHeight="1">
      <c r="A529" s="7"/>
      <c r="B529" s="8"/>
    </row>
    <row r="530" spans="1:2" ht="42.75">
      <c r="A530" s="25" t="s">
        <v>81</v>
      </c>
      <c r="B530" s="8"/>
    </row>
    <row r="531" spans="1:2" ht="14.25">
      <c r="A531" s="2"/>
      <c r="B531" s="3"/>
    </row>
    <row r="532" spans="1:2" s="19" customFormat="1" ht="15">
      <c r="A532" s="17" t="s">
        <v>38</v>
      </c>
      <c r="B532" s="24">
        <f>B534</f>
        <v>0</v>
      </c>
    </row>
    <row r="533" spans="1:2" s="19" customFormat="1" ht="12.75" customHeight="1">
      <c r="A533" s="17"/>
      <c r="B533" s="28"/>
    </row>
    <row r="534" spans="1:2" s="19" customFormat="1" ht="15">
      <c r="A534" s="17" t="s">
        <v>100</v>
      </c>
      <c r="B534" s="24">
        <f>B536+B539</f>
        <v>0</v>
      </c>
    </row>
    <row r="535" spans="1:2" s="26" customFormat="1" ht="15">
      <c r="A535" s="27"/>
      <c r="B535" s="28"/>
    </row>
    <row r="536" spans="1:2" s="26" customFormat="1" ht="15">
      <c r="A536" s="21" t="s">
        <v>3</v>
      </c>
      <c r="B536" s="29">
        <f>SUM(B537:B537)</f>
        <v>-2200</v>
      </c>
    </row>
    <row r="537" spans="1:2" s="26" customFormat="1" ht="15">
      <c r="A537" s="23" t="s">
        <v>6</v>
      </c>
      <c r="B537" s="28">
        <v>-2200</v>
      </c>
    </row>
    <row r="538" s="19" customFormat="1" ht="12.75"/>
    <row r="539" spans="1:2" s="19" customFormat="1" ht="14.25">
      <c r="A539" s="21" t="s">
        <v>5</v>
      </c>
      <c r="B539" s="29">
        <f>SUM(B540:B540)</f>
        <v>2200</v>
      </c>
    </row>
    <row r="540" spans="1:2" s="26" customFormat="1" ht="15">
      <c r="A540" s="23" t="s">
        <v>7</v>
      </c>
      <c r="B540" s="28">
        <v>2200</v>
      </c>
    </row>
    <row r="541" spans="1:2" s="19" customFormat="1" ht="14.25">
      <c r="A541" s="23"/>
      <c r="B541" s="28"/>
    </row>
    <row r="542" spans="1:2" s="19" customFormat="1" ht="60.75" customHeight="1">
      <c r="A542" s="23" t="s">
        <v>101</v>
      </c>
      <c r="B542" s="28"/>
    </row>
    <row r="543" spans="1:2" s="19" customFormat="1" ht="14.25">
      <c r="A543" s="23"/>
      <c r="B543" s="28"/>
    </row>
  </sheetData>
  <mergeCells count="7">
    <mergeCell ref="A12:B12"/>
    <mergeCell ref="A1:B1"/>
    <mergeCell ref="A2:B2"/>
    <mergeCell ref="A3:B3"/>
    <mergeCell ref="A4:B4"/>
    <mergeCell ref="A7:B7"/>
    <mergeCell ref="A8:B8"/>
  </mergeCells>
  <printOptions horizontalCentered="1"/>
  <pageMargins left="0.5905511811023623" right="0.4330708661417323" top="0.7874015748031497" bottom="0.6692913385826772" header="0.5118110236220472" footer="0.6692913385826772"/>
  <pageSetup horizontalDpi="300" verticalDpi="300" orientation="portrait" paperSize="9" scale="90" r:id="rId1"/>
  <rowBreaks count="12" manualBreakCount="12">
    <brk id="46" max="1" man="1"/>
    <brk id="96" max="1" man="1"/>
    <brk id="127" max="1" man="1"/>
    <brk id="161" max="1" man="1"/>
    <brk id="206" max="1" man="1"/>
    <brk id="254" max="1" man="1"/>
    <brk id="297" max="1" man="1"/>
    <brk id="342" max="1" man="1"/>
    <brk id="387" max="1" man="1"/>
    <brk id="424" max="1" man="1"/>
    <brk id="462" max="1" man="1"/>
    <brk id="515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Justyna Glapa</cp:lastModifiedBy>
  <cp:lastPrinted>2004-12-06T08:08:15Z</cp:lastPrinted>
  <dcterms:created xsi:type="dcterms:W3CDTF">2003-09-02T06:31:45Z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