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600" firstSheet="1" activeTab="1"/>
  </bookViews>
  <sheets>
    <sheet name="08.11.2014" sheetId="1" state="hidden" r:id="rId1"/>
    <sheet name="zał. 3" sheetId="2" r:id="rId2"/>
  </sheets>
  <definedNames>
    <definedName name="_xlnm.Print_Area" localSheetId="0">'08.11.2014'!$A$1:$H$369</definedName>
    <definedName name="_xlnm.Print_Area" localSheetId="1">'zał. 3'!$B$1:$AW$59</definedName>
    <definedName name="_xlnm.Print_Titles" localSheetId="0">'08.11.2014'!$11:$16</definedName>
    <definedName name="_xlnm.Print_Titles" localSheetId="1">'zał. 3'!$B:$D,'zał. 3'!$11:$14</definedName>
    <definedName name="Z_B15945DE_76D9_4063_B8B6_1190BD75A441_.wvu.Cols" localSheetId="1" hidden="1">'zał. 3'!#REF!,'zał. 3'!#REF!</definedName>
    <definedName name="Z_B15945DE_76D9_4063_B8B6_1190BD75A441_.wvu.FilterData" localSheetId="1" hidden="1">'zał. 3'!$A$5:$A$84</definedName>
    <definedName name="Z_B15945DE_76D9_4063_B8B6_1190BD75A441_.wvu.PrintArea" localSheetId="0" hidden="1">'08.11.2014'!$A$1:$H$369</definedName>
    <definedName name="Z_B15945DE_76D9_4063_B8B6_1190BD75A441_.wvu.PrintArea" localSheetId="1" hidden="1">'zał. 3'!#REF!</definedName>
    <definedName name="Z_B15945DE_76D9_4063_B8B6_1190BD75A441_.wvu.PrintTitles" localSheetId="0" hidden="1">'08.11.2014'!$11:$16</definedName>
    <definedName name="Z_B15945DE_76D9_4063_B8B6_1190BD75A441_.wvu.PrintTitles" localSheetId="1" hidden="1">'zał. 3'!$11:$14</definedName>
    <definedName name="Z_B15945DE_76D9_4063_B8B6_1190BD75A441_.wvu.Rows" localSheetId="0" hidden="1">'08.11.2014'!$21:$23,'08.11.2014'!$27:$27,'08.11.2014'!$45:$48,'08.11.2014'!$63:$65,'08.11.2014'!$76:$81,'08.11.2014'!$99:$103,'08.11.2014'!$116:$117,'08.11.2014'!$128:$128,'08.11.2014'!$148:$148,'08.11.2014'!$172:$173,'08.11.2014'!$181:$182,'08.11.2014'!$186:$187,'08.11.2014'!$213:$213,'08.11.2014'!$233:$233,'08.11.2014'!$235:$236,'08.11.2014'!$251:$251,'08.11.2014'!$277:$285,'08.11.2014'!$295:$295,'08.11.2014'!$301:$301,'08.11.2014'!$311:$313,'08.11.2014'!$317:$319,'08.11.2014'!$323:$326,'08.11.2014'!$341:$342,'08.11.2014'!$346:$348,'08.11.2014'!$360:$362,'08.11.2014'!$367:$372</definedName>
    <definedName name="Z_B15945DE_76D9_4063_B8B6_1190BD75A441_.wvu.Rows" localSheetId="1" hidden="1">#VALUE!</definedName>
  </definedNames>
  <calcPr fullCalcOnLoad="1"/>
</workbook>
</file>

<file path=xl/sharedStrings.xml><?xml version="1.0" encoding="utf-8"?>
<sst xmlns="http://schemas.openxmlformats.org/spreadsheetml/2006/main" count="1301" uniqueCount="688">
  <si>
    <t>Doposażenie placu zabaw przy ul. Kadłubka w ławki i urzadzenia zabawowe</t>
  </si>
  <si>
    <t>Schroniska dla zwierząt</t>
  </si>
  <si>
    <t>Usługi Komunalne</t>
  </si>
  <si>
    <t>UK/P/002</t>
  </si>
  <si>
    <t>Schronisko dla zwierząt - zakupy inwestycyjne</t>
  </si>
  <si>
    <t>UK/P/004</t>
  </si>
  <si>
    <t>Budowa nowego schroniska dla zwierząt</t>
  </si>
  <si>
    <t>Oświetlenie ulic placów i dróg</t>
  </si>
  <si>
    <t>ZDM/P/003</t>
  </si>
  <si>
    <t>8.117.972,00 zł - samorządy (jednostki + granty)</t>
  </si>
  <si>
    <t>z dnia ……………………</t>
  </si>
  <si>
    <t>Budżet osiedli</t>
  </si>
  <si>
    <t>Granty</t>
  </si>
  <si>
    <t>-</t>
  </si>
  <si>
    <t>WYDATKI  MAJĄTKOWE</t>
  </si>
  <si>
    <t>samorządy</t>
  </si>
  <si>
    <t>w zł</t>
  </si>
  <si>
    <t>§</t>
  </si>
  <si>
    <t>Dz.</t>
  </si>
  <si>
    <t>Plan 2015 r.</t>
  </si>
  <si>
    <t>§ 605</t>
  </si>
  <si>
    <t xml:space="preserve">Ogrod Zoologiczny - przebudowa stawów i systemu przepustu wód powierzchniowych na terenie Nowego ZOO </t>
  </si>
  <si>
    <t>Palmiarnia Poznańska</t>
  </si>
  <si>
    <t>PALM/P/001</t>
  </si>
  <si>
    <t>ROLNICTWO I ŁOWIECTWO</t>
  </si>
  <si>
    <t>01008</t>
  </si>
  <si>
    <t>Melioracje wodne</t>
  </si>
  <si>
    <t>605</t>
  </si>
  <si>
    <t>K</t>
  </si>
  <si>
    <t>DGR/DGR/1</t>
  </si>
  <si>
    <t>Modernizacja przepompowni "Bielniki"</t>
  </si>
  <si>
    <t>TRANSPORT I ŁĄCZNOŚĆ</t>
  </si>
  <si>
    <t>Lokalny transport zbiorowy</t>
  </si>
  <si>
    <t>Zarząd Transportu Miejskiego</t>
  </si>
  <si>
    <t>GKM/ZTM/376</t>
  </si>
  <si>
    <t>Przebudowa węzła komunikacyjnego rondo Kaponiera</t>
  </si>
  <si>
    <t>ZTM/P/001</t>
  </si>
  <si>
    <t>Doposażenie placu zabaw przy ul. Kartuskiej</t>
  </si>
  <si>
    <t>JE_WIN/P/001</t>
  </si>
  <si>
    <t>Modernizacja Winiarskiego Centrum Rekreacyjno - Sportowego</t>
  </si>
  <si>
    <t>ZTM/P/003</t>
  </si>
  <si>
    <t>Zarząd Transportu Miejskiego - zakupy inwestycyjne</t>
  </si>
  <si>
    <t>ZTM/P/005</t>
  </si>
  <si>
    <t xml:space="preserve">Program "Centrum" - budowa przystankow wiedeńskich </t>
  </si>
  <si>
    <t>ZTM/P/006</t>
  </si>
  <si>
    <t xml:space="preserve">Budowa parkingu przy cmentarzu Junikowo </t>
  </si>
  <si>
    <t>ZTM/P/007</t>
  </si>
  <si>
    <t>Program "Poznań Rataje - Franowo" - modernizacja trasy tramwajowej ul. Kórnicka - os. Lecha - Rondo Żegrze - prace projektowe</t>
  </si>
  <si>
    <t>ZTM/P/011</t>
  </si>
  <si>
    <t>System ITS Poznań</t>
  </si>
  <si>
    <t>ZTM/P/013</t>
  </si>
  <si>
    <t>Przebudowa trasy tramwajowej w ul. Dąbrowskiego - dokumentacja studialna</t>
  </si>
  <si>
    <t>Drogi publiczne gminne</t>
  </si>
  <si>
    <t>Zarząd Dróg Miejskich</t>
  </si>
  <si>
    <t>ZDM/P/001</t>
  </si>
  <si>
    <t>Budowa chodników</t>
  </si>
  <si>
    <t>ZDM/P/004</t>
  </si>
  <si>
    <t xml:space="preserve">Budowa urządzeń do oczyszczania ścieków - wód opadowych, pochodzących z powierzchni ulic </t>
  </si>
  <si>
    <t>ZDM/P/006</t>
  </si>
  <si>
    <t>OGRODY BOTANICZNE I ZOOLOGICZNE ORAZ NATURALNE OBSZARY I OBIEKTY CHRONIONEJ PRZYRODY</t>
  </si>
  <si>
    <t>Ogrody botaniczne i zoologiczne</t>
  </si>
  <si>
    <t>ZOO</t>
  </si>
  <si>
    <t>ZOO/P/001</t>
  </si>
  <si>
    <t>Ogrod Zoologiczny - modernizacje</t>
  </si>
  <si>
    <t>ZOO/P/002</t>
  </si>
  <si>
    <t>Ogród Zoologiczny - zakupy inwestycyjne</t>
  </si>
  <si>
    <t>ZOO/P/003</t>
  </si>
  <si>
    <t>Rozbudowa sieci automatycznych toalet na terenie miasta Poznania</t>
  </si>
  <si>
    <t>OŚ/P/001</t>
  </si>
  <si>
    <t>Wartostrada - poznański ciąg pieszo-rowerowy</t>
  </si>
  <si>
    <t>GKM/GKM/566</t>
  </si>
  <si>
    <t>Zagospodarowanie podwórek komunalnych</t>
  </si>
  <si>
    <t>KULTURA I OCHRONA DZIEDZICTWA NARODOWEGO</t>
  </si>
  <si>
    <t>Domy i ośrodki kultury, świetlice i kluby</t>
  </si>
  <si>
    <t>KD/P/005</t>
  </si>
  <si>
    <t>Dom Kultury "Stokrotka" - modernizacje</t>
  </si>
  <si>
    <t xml:space="preserve">Galerie i biura wystaw artystycznych </t>
  </si>
  <si>
    <t>KD/P/015</t>
  </si>
  <si>
    <t>Galeria Miejska Arsenał - modernizacje</t>
  </si>
  <si>
    <t xml:space="preserve">Pozostałe instytucje kultury </t>
  </si>
  <si>
    <t>KD/P/014</t>
  </si>
  <si>
    <t>Wydawnictwo Miejskie Posnania - zakupy inwestycyjne</t>
  </si>
  <si>
    <t>Biblioteki</t>
  </si>
  <si>
    <t>KD/P/001</t>
  </si>
  <si>
    <t>Biblioteka Raczyńskich - zakupy inwestycyjne</t>
  </si>
  <si>
    <t>Muzea</t>
  </si>
  <si>
    <t>Muzeum Archeologiczne</t>
  </si>
  <si>
    <t>KD/P/006</t>
  </si>
  <si>
    <t>Muzeum Archeologiczne - modernizacje</t>
  </si>
  <si>
    <t>KD/P/007</t>
  </si>
  <si>
    <t>Muzeum Archeologiczne - zakupy inwestycyjne</t>
  </si>
  <si>
    <t>KD/P/013</t>
  </si>
  <si>
    <t>Wielkopolskie Muzeum Walk Niepodległościowych - zakupy inwestycyjne</t>
  </si>
  <si>
    <t>KP/KP/3</t>
  </si>
  <si>
    <t>Interaktywne Centrum Historii Ostrowa Tumskiego w Poznaniu - kolebki państwowości i chrześcijaństwa w Polsce</t>
  </si>
  <si>
    <t>KP/P/005</t>
  </si>
  <si>
    <t>Załącznik nr 4 do uchwały Nr …………………….</t>
  </si>
  <si>
    <t>RADY MIASTA POZNANIA</t>
  </si>
  <si>
    <t>Budowa boisk do piłki siatkowej plażowej na os. Lecha</t>
  </si>
  <si>
    <t>NM_OSZ/P/001</t>
  </si>
  <si>
    <t>Modernizacja infrastruktury przystankowej</t>
  </si>
  <si>
    <t>ZTM/P/002</t>
  </si>
  <si>
    <t xml:space="preserve">Odnowa infrastruktury torowo-sieciowej </t>
  </si>
  <si>
    <t>było N</t>
  </si>
  <si>
    <t>606</t>
  </si>
  <si>
    <t>Dokończenie budowy placu zabaw przy ul. Dojazd</t>
  </si>
  <si>
    <t>NM_GLS/NM_GLS/6</t>
  </si>
  <si>
    <t>Montaż słupów oświetleniowych na terenie OSIR Głuszyna oraz wykonanie instalacji elektrycznej</t>
  </si>
  <si>
    <t>NM_GLS/NM_GLS/7</t>
  </si>
  <si>
    <t>Wykonanie prac ziemnych i odwodnienie toru rowerowego poprzez niwelację terenu na obiekcie OSiR Głuszyna</t>
  </si>
  <si>
    <t>Nabycie gruntów objętych miejscowymi planami zagospodarowania przestrzennego</t>
  </si>
  <si>
    <t>ZDM/P/008</t>
  </si>
  <si>
    <t>Przebudowa utwardzonych ulic gminnych</t>
  </si>
  <si>
    <t>GKM/ZDM/512</t>
  </si>
  <si>
    <t>Strefa Płatnego Parkowania na obszarze Jeżyc - automaty parkingowe wraz z montażem</t>
  </si>
  <si>
    <t>GKM/ZDM/536</t>
  </si>
  <si>
    <t>Przebudowa ul. Katowickiej na odcinku od ul. Wołkowyskiej (obwodowa) do torów tramwajowych</t>
  </si>
  <si>
    <t>N</t>
  </si>
  <si>
    <t>GKM/ZDM/553</t>
  </si>
  <si>
    <t>Uporządkowanie parkowania na Wildzie i Łazarzu - Strefa Płatnego Parkowania</t>
  </si>
  <si>
    <t>ZDM/P/012</t>
  </si>
  <si>
    <t>Ulice lokalne i peryferyjne</t>
  </si>
  <si>
    <t>ZDM/P/013</t>
  </si>
  <si>
    <t>Wykupy gruntów (drogi gminne)</t>
  </si>
  <si>
    <t>ZDM/P/017</t>
  </si>
  <si>
    <t>Budowa ul. Snopowej</t>
  </si>
  <si>
    <t>ZDM/P/024</t>
  </si>
  <si>
    <t>Przebudowa ul. Kolejowej</t>
  </si>
  <si>
    <t>ZDM/P/025</t>
  </si>
  <si>
    <t>Przebudowa ul. Prośnickiej i Żywocickiej</t>
  </si>
  <si>
    <t>ZDM/P/026</t>
  </si>
  <si>
    <t>Program "Centrum" - przebudowa ulicy św. Marcin</t>
  </si>
  <si>
    <t>ZDM/P/031</t>
  </si>
  <si>
    <t>Budowa ul. Staszowskiej i Klimontowskiej</t>
  </si>
  <si>
    <t>ZDM/P/032</t>
  </si>
  <si>
    <t>Program "Poznań Rataje - Franowo" - budowa ul. Folwarcznej</t>
  </si>
  <si>
    <t>Jednostki pomocnicze - osiedla, z tego:</t>
  </si>
  <si>
    <t>NM/ZEG/P/001</t>
  </si>
  <si>
    <t>Dofinansowanie budowy chodnika na os. Polan/St. Żegrze</t>
  </si>
  <si>
    <t>NM_RAT/P/001</t>
  </si>
  <si>
    <t>Dofinansowanie modernizacji i budowy chodników na terenie jednostki pomocniczej Rataje</t>
  </si>
  <si>
    <t>NM_GLW/P/001</t>
  </si>
  <si>
    <t>Budowa ściezek rowerowych na terenie jednostki pomocniczej Główna</t>
  </si>
  <si>
    <t>NM_CHR/P/001</t>
  </si>
  <si>
    <t>Budowa chodnika na os. Rusa</t>
  </si>
  <si>
    <t>Pozostałe</t>
  </si>
  <si>
    <t>680</t>
  </si>
  <si>
    <t>P/P/006</t>
  </si>
  <si>
    <t xml:space="preserve">Rezerwa celowa na program budowy i modernizacji chodników </t>
  </si>
  <si>
    <t>Drogi wewnętrzne</t>
  </si>
  <si>
    <t>GKM/ZDM/375</t>
  </si>
  <si>
    <t>Przebudowa dróg wewnętrznych</t>
  </si>
  <si>
    <t>SM_UML/P/001</t>
  </si>
  <si>
    <t>Pozostała działalność</t>
  </si>
  <si>
    <t>ZTM/P/004</t>
  </si>
  <si>
    <t>Poznański System Rowerów Publicznych (etap I Kampus Morasko)</t>
  </si>
  <si>
    <t>KP/P/013</t>
  </si>
  <si>
    <t>Program "Naramowice" - prace koncepcyjne</t>
  </si>
  <si>
    <t>KP/P/014</t>
  </si>
  <si>
    <t>Przebudowa układu komunikacyjnego w ciągu DK 92 - Węzeł Koszalińska - prace koncepcyjne</t>
  </si>
  <si>
    <t>KP/P/015</t>
  </si>
  <si>
    <t xml:space="preserve">Przebudowa układu komunikacyjnego w ciągu DK 92 - Węzeł Poznań Wola (Projekt komplementarny do projektu PLK PKP przebudowy linii kolejowej E-59) </t>
  </si>
  <si>
    <t>GOSPODARKA MIESZKANIOWA</t>
  </si>
  <si>
    <t>Zakłady gospodarki mieszkaniowej</t>
  </si>
  <si>
    <t>621</t>
  </si>
  <si>
    <t>GKM/ZKZL/111</t>
  </si>
  <si>
    <t>Budownictwo komunalne</t>
  </si>
  <si>
    <t>GKM/ZKZL/560</t>
  </si>
  <si>
    <t xml:space="preserve">Zagospodarowanie skweru przy ul. Grochowskiej </t>
  </si>
  <si>
    <t>Wydatki na zadania z zakresu administracji rządowej wykonywane przez gminę:</t>
  </si>
  <si>
    <t>Cmentarze</t>
  </si>
  <si>
    <t>GKM/GKM/542</t>
  </si>
  <si>
    <t>ZSS/ZSS/32</t>
  </si>
  <si>
    <t>Uzyskanie standardów w środowiskowych domach samopomocy</t>
  </si>
  <si>
    <t>Placówki opiekuńczo - wychowawcze</t>
  </si>
  <si>
    <t>CWR/P/001</t>
  </si>
  <si>
    <t>Centrum Wspierania Rodzin "Swoboda" - modernizacje</t>
  </si>
  <si>
    <t>ZSS/P/011</t>
  </si>
  <si>
    <t xml:space="preserve">Standaryzacja placowek opiekuńczo - wychowawczych </t>
  </si>
  <si>
    <t>Domy pomocy społecznej</t>
  </si>
  <si>
    <t>ZSS/P/012</t>
  </si>
  <si>
    <t>Dom Pomocy Społecznej przy ul. Bukowskiej - nowa siedziba DPS przy ul. Pamiątkowej</t>
  </si>
  <si>
    <t>DPS2/P/001</t>
  </si>
  <si>
    <t>Dom Pomocy Społecznej przy ul. Konarskiego - modernizacje</t>
  </si>
  <si>
    <t>P/P/007</t>
  </si>
  <si>
    <t>Rezerwa celowa na dostosowanie budynku Domu Pomocy Społecznej w Poznaniu przy ul. Bukowskiej do standardow p.poż.</t>
  </si>
  <si>
    <t>Jednostki specjalist.poradnictwa, mieszkania chronione i ośrodki interwencji kryzysowej</t>
  </si>
  <si>
    <t>ZSS/DPS3/20</t>
  </si>
  <si>
    <t>Utworzenie mieszkania chronionego przy ul. Winogrady 150</t>
  </si>
  <si>
    <t>POZOSTAŁE ZADANIA W ZAKRESIE POLITYKI SPOŁECZNEJ</t>
  </si>
  <si>
    <t>Powiatowe urzędy pracy</t>
  </si>
  <si>
    <t>662</t>
  </si>
  <si>
    <t>DGR/P/001</t>
  </si>
  <si>
    <t>GKM/ZKZL/561</t>
  </si>
  <si>
    <t>Budowa placu zabaw i boiska przy ul. Dojazd</t>
  </si>
  <si>
    <t>GKM/ZKZL/562</t>
  </si>
  <si>
    <t>Budowa kompleksu rekreacyjnego oraz placu zabaw przy ul. Św. Michała</t>
  </si>
  <si>
    <t>GKM/ZKZL/563</t>
  </si>
  <si>
    <t>Budowa placu zabaw przy ul. Paszty</t>
  </si>
  <si>
    <t>Gospodarka gruntami i nieruchomościami</t>
  </si>
  <si>
    <t>GN/P/001</t>
  </si>
  <si>
    <t>Wykupy nieruchomości, w tym skutki uchwalenia mpzp</t>
  </si>
  <si>
    <t>????</t>
  </si>
  <si>
    <t>GN/P/002</t>
  </si>
  <si>
    <t>Modernizacje budynków komunalnych</t>
  </si>
  <si>
    <t>K???</t>
  </si>
  <si>
    <t>GN/P/003</t>
  </si>
  <si>
    <t>RODZINA</t>
  </si>
  <si>
    <t>Modernizacja obiektu oraz terenu do ćwiczeń  w JRG nr 8 w Bolechowie oraz modernizacja obiektów na terenie Filii Powiatowego Ośrodka Szkolenia OSP w JRG nr 6 Krzesiny</t>
  </si>
  <si>
    <t>Obrona cywilna</t>
  </si>
  <si>
    <t>ZKB/P/001</t>
  </si>
  <si>
    <t xml:space="preserve">Infrastruktura Technicznych Systemów Bezpieczeństwa i Porządku Publicznego oraz Monitoringu Wizyjnego Miasta Poznania </t>
  </si>
  <si>
    <t>Szkoły podstawowe specjalne</t>
  </si>
  <si>
    <t>OW/SPS112/318</t>
  </si>
  <si>
    <t>Modernizacja budynku wraz z zagospodarowaniem terenu Zespołu Szkół Specjalnych nr 112 przy ul. Obornickiej 314</t>
  </si>
  <si>
    <t>GR_GPN/SPS101/1</t>
  </si>
  <si>
    <t>Zespół Szkół Specjalnych nr 101 - modernizacja boiska sportowego do piłki nożnej i ręcznej</t>
  </si>
  <si>
    <t>Licea ogólnokształcące</t>
  </si>
  <si>
    <t>LO20/P/005</t>
  </si>
  <si>
    <t>XX Liceum Ogólnokształcące - zagospodarowanie terenów boiska i stacjonarnej siłowni zewnętrznej</t>
  </si>
  <si>
    <t>OW/P/002</t>
  </si>
  <si>
    <t>Renowacja elewacji i dachów zabytkowego zespołu budynków oświatowych przy ul. Cegielskiego 1 i ul. Garbary 20 wraz z adaptacją budynków na potrzeby VIII Liceum Ogólnokształcącego</t>
  </si>
  <si>
    <t>Szkoły zawodowe</t>
  </si>
  <si>
    <t>OW/OW/18</t>
  </si>
  <si>
    <t>Termorenowacja budynków</t>
  </si>
  <si>
    <t>KP/SZZSS/1</t>
  </si>
  <si>
    <t>Biura planowania przestrzennego</t>
  </si>
  <si>
    <t>MPU/P/001</t>
  </si>
  <si>
    <t xml:space="preserve">Miejska Pracownia Urbanistyczna - zakup sprzętu komputerowego i oprogramowania </t>
  </si>
  <si>
    <t>*) W związku z umorzeniem pożyczek z WFOŚ i GW w Poznaniu na łączna kwotę 997.633,87 zł dotyczącą umów nr: 20/U/400/289/2014 z 13.07.2012 r., 30/P/OZ-s/I/06 
z 10.07.2006r., 31/P/PR/N/06 z 10.07.2006 r., 116/P/OA-t/I/06 z 7.11.2006 r., 139/P/OA/-T/i/06 z 26.11.2006 r., 163/P/OA-t-k/I/06 z 13.12.2006 r., 195/P/OA-zot/I/06 z 22.12.2006 r., 197/U/400/286/2008 z 04.11.2008 r., 209/U/400/162/2008 z 04.11.2008 r., 211/U/400/164/2008 z 04.11.2008 r., 212/U/400/160/2008 z 04.11.2008 r. i 293/U/400/424/2008 z 12.12.2008 r.</t>
  </si>
  <si>
    <t>* N - nowe, K, Kontynuowane (podział tylko dla § 605)</t>
  </si>
  <si>
    <t>Razem § 605</t>
  </si>
  <si>
    <t>§ 605 cz.I</t>
  </si>
  <si>
    <t>§ 605 cz. II</t>
  </si>
  <si>
    <t>§ 605 cz. III</t>
  </si>
  <si>
    <t>§ 605 cz.IV</t>
  </si>
  <si>
    <t>§ 606 cz.I</t>
  </si>
  <si>
    <t>607</t>
  </si>
  <si>
    <t>§ 606 cz. II</t>
  </si>
  <si>
    <t>608</t>
  </si>
  <si>
    <t>Razem § 606</t>
  </si>
  <si>
    <t>Razem § 658</t>
  </si>
  <si>
    <t>Razem §§ dotacyjne (621, 622,623, 662, 619)</t>
  </si>
  <si>
    <t>601</t>
  </si>
  <si>
    <t>Pozostałe §§ majątkowe (601,602, 617, 680,666)</t>
  </si>
  <si>
    <t>inwestycje nowe cz.I</t>
  </si>
  <si>
    <t>inwestycje nowe cz.II</t>
  </si>
  <si>
    <t>inwestycje cz. III</t>
  </si>
  <si>
    <t>razem nowe</t>
  </si>
  <si>
    <t>inwestycje kontynuowane cz.I</t>
  </si>
  <si>
    <t>inwestycje kontynuowane cz.II</t>
  </si>
  <si>
    <t>inwestycje kontynuowane cz.III</t>
  </si>
  <si>
    <t>razem kontynuowane</t>
  </si>
  <si>
    <t>Wydatki inwestycyjne nowe i kontynuowane (§ 605):</t>
  </si>
  <si>
    <t>§ 606</t>
  </si>
  <si>
    <t>Wydatki inwestycyjne nowe i kontynuowane (§ 606):</t>
  </si>
  <si>
    <t>Doposażenie oraz wymiana sprzętu związanego z przeciwdziałaniem i usuwaniem skutków klęsk żwywiołowych</t>
  </si>
  <si>
    <t>Usuwanie klęsk żywiołowych</t>
  </si>
  <si>
    <t>Rezerwa celowa na budżet obywatelski</t>
  </si>
  <si>
    <t>OŚWIATA I WYCHOWANIE</t>
  </si>
  <si>
    <t>Szkoły podstawowe</t>
  </si>
  <si>
    <t>SP12/P/005</t>
  </si>
  <si>
    <t>Winogradzki Park Sportu i Rekreacji</t>
  </si>
  <si>
    <t>SP34/P/005</t>
  </si>
  <si>
    <t>Przebudowa i termomodernizacja hali sportowej w Szkole Podstawowej nr 34</t>
  </si>
  <si>
    <t>SP59/P/006</t>
  </si>
  <si>
    <t>Budowa bieżni lekkoatletycznej na boisku Szkoły Podstawowej nr 59</t>
  </si>
  <si>
    <t>SP62/P/005</t>
  </si>
  <si>
    <t>Dostosowanie podwórka szkoły Podstawowej nr 62 do potrzeb dzieci 6 - 10 lat (bezpieczny plac zabaw)</t>
  </si>
  <si>
    <t>SP70/P/005</t>
  </si>
  <si>
    <t>Budowa dziedzińca szkolnego, wielofunkcyjnego prz Szkole Podstawowej nr 70</t>
  </si>
  <si>
    <t>OW/P/001</t>
  </si>
  <si>
    <t>Budowa Zespołu Szkolno-Przedszkolnego na Naramowicach</t>
  </si>
  <si>
    <t>OW/P/003</t>
  </si>
  <si>
    <t>Rozbudowa Zespołu Szkół nr 6 przy ul. Szczepankowo</t>
  </si>
  <si>
    <t>OW/P/004</t>
  </si>
  <si>
    <t xml:space="preserve">Budowa sali gimnastycznej  z łącznikiem przy Zespole Szkół nr 1 w Poznaniu ul. Leśnowolska </t>
  </si>
  <si>
    <t>Przedszkola</t>
  </si>
  <si>
    <t>P58/P/004</t>
  </si>
  <si>
    <t>Przedszkole nr 58 - zakupy inwestycyjne</t>
  </si>
  <si>
    <t>P68/P/005</t>
  </si>
  <si>
    <t>§ 658</t>
  </si>
  <si>
    <t>Wydatki inwestycyjne nowe i kontynuowane (§ 658):</t>
  </si>
  <si>
    <t>Razem nowe</t>
  </si>
  <si>
    <t>Razem kontynuowane</t>
  </si>
  <si>
    <t>Razem ogółem</t>
  </si>
  <si>
    <t>Ośrodki dokumentacji geodezyjnej i kartograficznej</t>
  </si>
  <si>
    <t>Zarząd Geodezji i Katastru Miejskiego "GEOPOZ"</t>
  </si>
  <si>
    <t>GEOPOZ/P/001</t>
  </si>
  <si>
    <t>System Informacji Przestrzennej</t>
  </si>
  <si>
    <t>było 6060</t>
  </si>
  <si>
    <t>GEOPOZ/P/002</t>
  </si>
  <si>
    <t>GEOPOZ - zakup sprzętu komputerowego i oprogramowania</t>
  </si>
  <si>
    <t>GEOPOZ/P/003</t>
  </si>
  <si>
    <t>RÓŻNE ROZLICZENIA</t>
  </si>
  <si>
    <t>Rezerwy ogólne i celowe</t>
  </si>
  <si>
    <t>P/P/001</t>
  </si>
  <si>
    <t>Rezerwa celowa na przygotowanie, realizację oraz trwałość projektów</t>
  </si>
  <si>
    <t>P/P/002</t>
  </si>
  <si>
    <t>Rezerwa celowa na przedsięwzięcia z udziałem innych inwestorów</t>
  </si>
  <si>
    <t>P/P/003</t>
  </si>
  <si>
    <t>Rezerwa celowa na jednostki pomocnicze - osiedla</t>
  </si>
  <si>
    <t>Urząd Miasta Poznania - modernizacja sieci komputerowej</t>
  </si>
  <si>
    <t>IN/P/002</t>
  </si>
  <si>
    <t>Urząd Miasta Poznania - zakup sprzętu komputerowego i oprogramowania</t>
  </si>
  <si>
    <t>K ??</t>
  </si>
  <si>
    <t>IN/P/003</t>
  </si>
  <si>
    <t>Wdrożenie systemu gospodarowania nieruchomościami</t>
  </si>
  <si>
    <t>N??</t>
  </si>
  <si>
    <t>ZOU/P/004</t>
  </si>
  <si>
    <t>Adaptacja budynku warsztatowego Zespołu Szkół Mechanicznych w Poznaniu przy ul. Świerkowej na cele centralnej siedziby Archiwum Zakładowego UMP</t>
  </si>
  <si>
    <t>ZOU/P/001</t>
  </si>
  <si>
    <t>Urzad Miasta Poznania - modernizacje</t>
  </si>
  <si>
    <t>ZOU/P/003</t>
  </si>
  <si>
    <t>Urząd Miasta Poznania - modernizacja systemu łączności i teleinformatycznego</t>
  </si>
  <si>
    <t>ZOU/P/002</t>
  </si>
  <si>
    <t xml:space="preserve">Urząd Miasta Poznania - zakupy inwestycyjne </t>
  </si>
  <si>
    <t>OR/P/001</t>
  </si>
  <si>
    <t>Portal mieszkańca - prace przygotowawcze</t>
  </si>
  <si>
    <t>BEZPIECZEŃSTWO PUBLICZNE I OCHRONA PRZECIWPOŻAROWA</t>
  </si>
  <si>
    <t>Ochotnicze straże pożarne</t>
  </si>
  <si>
    <t>623</t>
  </si>
  <si>
    <t>ZKB/ZKB/20</t>
  </si>
  <si>
    <t>Szkoły artystyczne</t>
  </si>
  <si>
    <t>Przedszkole nr 68 - rozbudowa przedszkola o dodatkowy oddział</t>
  </si>
  <si>
    <t>Gimnazja</t>
  </si>
  <si>
    <t>GM22/P/001</t>
  </si>
  <si>
    <t>Gimnazjum nr 22 - termorenowacja budynku</t>
  </si>
  <si>
    <t>GM58/P/005</t>
  </si>
  <si>
    <t xml:space="preserve">Budowa boiska do piłki koszykowej przy Gimnazjum nr 58 </t>
  </si>
  <si>
    <t>KP/P/006</t>
  </si>
  <si>
    <t>Budowa kanalizacji deszczowej wraz z niezbędną przebudową układu drogowego dla os. Kiekrz</t>
  </si>
  <si>
    <t>ZDM/P/020</t>
  </si>
  <si>
    <t>Budowa kolektora deszczowego w ul. Królowej Jadwigi</t>
  </si>
  <si>
    <t>ZDM/P/021</t>
  </si>
  <si>
    <t>Budowa sieci wodociągowej oraz kanalizacji sanitarnej i deszczowej wraz z budową dróg i chodników na terenie os. Księdza Skorupki</t>
  </si>
  <si>
    <t>ZDM/P/022</t>
  </si>
  <si>
    <t>Ciek Górczynka</t>
  </si>
  <si>
    <t>Ochrona środowiska</t>
  </si>
  <si>
    <t>OŚ/OŚ/27</t>
  </si>
  <si>
    <t xml:space="preserve">Oczyszczanie miast i wsi </t>
  </si>
  <si>
    <t>GKM/GKM/559</t>
  </si>
  <si>
    <t xml:space="preserve">Opracowanie oprogramowania do opłat za gospodarowanie odpadami komunalnymi </t>
  </si>
  <si>
    <t>Utrzymanie zieleni w miastach i gminach</t>
  </si>
  <si>
    <t>Zarząd Zieleni Miejskiej</t>
  </si>
  <si>
    <t>658</t>
  </si>
  <si>
    <t>ZZM/P/002</t>
  </si>
  <si>
    <t>Rewaloryzacja zieleni w centrum miasta - Cmentarz Zasłużonych Wielkopolan</t>
  </si>
  <si>
    <t>ZZM/P/003</t>
  </si>
  <si>
    <t>Zagospodarowanie starego koryta Warty</t>
  </si>
  <si>
    <t>ZZM/P/001</t>
  </si>
  <si>
    <t>Budowa i modernizacja parków i zieleńców</t>
  </si>
  <si>
    <t>Zakład Lasów Poznańskich</t>
  </si>
  <si>
    <t>N???</t>
  </si>
  <si>
    <t>GKM/P/002</t>
  </si>
  <si>
    <t>Rekultywacja , poprawa i stabilizacja jakości wód jeziora Strzeszyńskiego</t>
  </si>
  <si>
    <t>Gospodarka odpadami</t>
  </si>
  <si>
    <t xml:space="preserve">Gospodarka komunalna </t>
  </si>
  <si>
    <t>GKM/P/006</t>
  </si>
  <si>
    <t>System Gospodarki Odpadami dla Miasta Poznania</t>
  </si>
  <si>
    <t>Odnowa i tworzenie infrastruktury rekreacyjnej na terenie lasów komunalnych</t>
  </si>
  <si>
    <t>GKM/P/003</t>
  </si>
  <si>
    <t>Rewitalizacja rezerwatu Żurawiniec</t>
  </si>
  <si>
    <t>GKM/P/004</t>
  </si>
  <si>
    <t>Zalesienie brakującej części otuliny Fortu I wraz z rekultywacją terenu</t>
  </si>
  <si>
    <t>JE_JEZ/P/001</t>
  </si>
  <si>
    <t xml:space="preserve">Program "Centrum" - modernizacja torowisk w ul. Wierzbięcice i 28 Czerwca 1956 r. </t>
  </si>
  <si>
    <t>ZTM/P/008</t>
  </si>
  <si>
    <t xml:space="preserve">Program "Brama Zachodnia" - przebudowa trasy tramwajowej w ul. Dąbrowskiego - od ul. Botanicznej do ul. Żeromskiego wraz z węzłem </t>
  </si>
  <si>
    <t>ZTM/P/009</t>
  </si>
  <si>
    <t>Program "Poznań Rataje - Franowo" - koncepcja rozwiązań transportowych na odc.od ul. Matyi do Ronda Rataje</t>
  </si>
  <si>
    <t>ZTM/P/010</t>
  </si>
  <si>
    <t>Budowa ogólnodostępnego kompleksu rekreacyjnego</t>
  </si>
  <si>
    <t>NM_ZEG/P/002</t>
  </si>
  <si>
    <t>Dofinansowanie budowy placu zabaw na os. Orła Białego</t>
  </si>
  <si>
    <t>SM_JSM/P/001</t>
  </si>
  <si>
    <t>Zakup i montaż urządzeń zabawowych na terenie os. Jana III Sobieskiego</t>
  </si>
  <si>
    <t>SM_MOR/P/001</t>
  </si>
  <si>
    <t xml:space="preserve">Zagospodarowanie placów zabaw przy ul. Morasko i ul. Lubczykowej </t>
  </si>
  <si>
    <t>Palmiarnia Poznańska- zakupy inwestycyjne</t>
  </si>
  <si>
    <t>PALM/P/002</t>
  </si>
  <si>
    <t>Renowacja parku Wilsona</t>
  </si>
  <si>
    <t>PALM/P/003</t>
  </si>
  <si>
    <t>Palmiarnia Poznańska - zwiększenie efektywności energetycznej pawilonów - projekt</t>
  </si>
  <si>
    <t xml:space="preserve">KULTURA FIZYCZNA </t>
  </si>
  <si>
    <t>Obiekty sportowe</t>
  </si>
  <si>
    <t>KP/P/003</t>
  </si>
  <si>
    <t>Hala Widowiskowo-Sportowa - koncepcja funkcjonalno-przestrzenna</t>
  </si>
  <si>
    <t>Jednostki pomocnicze- osiedla, z tego:</t>
  </si>
  <si>
    <t>JE_POD/JE_POD/2</t>
  </si>
  <si>
    <t>Rozdz.</t>
  </si>
  <si>
    <t>N/K*</t>
  </si>
  <si>
    <t>Numer 
zadania</t>
  </si>
  <si>
    <t>Nazwa zadania</t>
  </si>
  <si>
    <t>WYDATKI OGÓŁEM</t>
  </si>
  <si>
    <t>Wydatki na zadania gminy ogółem:</t>
  </si>
  <si>
    <t>z tego:</t>
  </si>
  <si>
    <t>Wydatki na zadania własne gminy:</t>
  </si>
  <si>
    <t>010</t>
  </si>
  <si>
    <t>JE_STR/P/001</t>
  </si>
  <si>
    <t>Zagospodarowanie parku przy ul. Homera - etap I</t>
  </si>
  <si>
    <t>JE_STR/P/002</t>
  </si>
  <si>
    <t>Zagospodarowanie sportowego terenu przy ul. Krajaneckiej - utworzenie strefy seniora</t>
  </si>
  <si>
    <t>NM_CHR/P/002</t>
  </si>
  <si>
    <t>Modernizacja placu zabaw na os. Tysiąclecia</t>
  </si>
  <si>
    <t>NM_CHR/P/003</t>
  </si>
  <si>
    <t xml:space="preserve">Doposażenie placu zabaw przy ul. Kopcowej oraz terenu rekreacyjno - sportowego przy ul. Łagodnej </t>
  </si>
  <si>
    <t>SM_PTK/P/001</t>
  </si>
  <si>
    <t>Budowa kompleksu boisk sportowych na terenie os. St. Batorego - etap III</t>
  </si>
  <si>
    <t>SM_WWS/P/001</t>
  </si>
  <si>
    <t>Zakup i montaż urządzeń zabawowych na terenie os. Kosmonautów</t>
  </si>
  <si>
    <t>Instytucje kultury fizycznej</t>
  </si>
  <si>
    <t>Poznańskie Ośrodki Sportu i Rekreacji</t>
  </si>
  <si>
    <t>SP/P/001</t>
  </si>
  <si>
    <t>Modernizacja Hotelu Camping Malta</t>
  </si>
  <si>
    <t>SP/P/002</t>
  </si>
  <si>
    <t>Modernizacja kąpielisk wraz z otoczeniem i zapleczem - wielobranżowa modernizacja pływalni w Parku Kasprowicza - dokumentacja</t>
  </si>
  <si>
    <t>SP/P/003</t>
  </si>
  <si>
    <t>Młodzieżowy Ośrodek Sportowy - modernizacje</t>
  </si>
  <si>
    <t>SP/P/004</t>
  </si>
  <si>
    <t>Modernizacja obiektów kompleksu Chwiałka</t>
  </si>
  <si>
    <t>SP/P/005</t>
  </si>
  <si>
    <t xml:space="preserve">Modernizacja Toru Regatowego Malta </t>
  </si>
  <si>
    <t>SP/P/006</t>
  </si>
  <si>
    <t>Wielobranżowa Modernizacja HWS Arena</t>
  </si>
  <si>
    <t>K??</t>
  </si>
  <si>
    <t>SP/P/007</t>
  </si>
  <si>
    <t>Wielobranżowa modernizacja obiektów kompleksu Golęcin w tym nowa trybuna z częścią halową) - prace koncepcyjno - projektowe</t>
  </si>
  <si>
    <t>SP/P/008</t>
  </si>
  <si>
    <t>POSiR - zakupy inwestycyjne</t>
  </si>
  <si>
    <t>SP/P/009</t>
  </si>
  <si>
    <t>Modernizacja pływalni krytej na Ratajach</t>
  </si>
  <si>
    <t>SP/P/010</t>
  </si>
  <si>
    <t>Sportowy Golaj - Golęcińska Strefa Sportu i Rekreacji</t>
  </si>
  <si>
    <t>SP/P/011</t>
  </si>
  <si>
    <t>"Nowa Rusałka"</t>
  </si>
  <si>
    <t>JE_SOL/JE_SOL/1</t>
  </si>
  <si>
    <t>Instalacja nawadniająca kwaterę żołnierzy Armii Czerwonej</t>
  </si>
  <si>
    <t>Wydatki na zadania powiatu ogółem:</t>
  </si>
  <si>
    <t>Wydatki na zadania własne powiatu:</t>
  </si>
  <si>
    <t>Drogi publiczne w miastach na prawach powiatu</t>
  </si>
  <si>
    <t>ZDM/P/002</t>
  </si>
  <si>
    <t>Budowa dróg rowerowych</t>
  </si>
  <si>
    <t>ZDM/P/005</t>
  </si>
  <si>
    <t xml:space="preserve">Modernizacja obiektów inżynierskich </t>
  </si>
  <si>
    <t>ZDM/P/007</t>
  </si>
  <si>
    <t>Opracowanie koncepcji układów komunikacyjnych, projekty i studia wykonalności</t>
  </si>
  <si>
    <t>ZDM/P/009</t>
  </si>
  <si>
    <t>Przebudowa utwardzonych ulic krajowych, wojewódzkich i powiatowych, w tym ochrona akustyczna ulic</t>
  </si>
  <si>
    <t>ZDM/P/010</t>
  </si>
  <si>
    <t>Rozbudowa systemu sygnalizacji świetlnych, przebudowa skrzyżowań</t>
  </si>
  <si>
    <t>ZDM/P/011</t>
  </si>
  <si>
    <t>System Informacji Miejskiej</t>
  </si>
  <si>
    <t>ZDM/P/014</t>
  </si>
  <si>
    <t>Wykupy gruntów (drogi krajowe, wojewódzkie, powiatowe)</t>
  </si>
  <si>
    <t>ZDM/P/015</t>
  </si>
  <si>
    <t>Zarząd Dróg Miejskich - zakupy inwestycyjne</t>
  </si>
  <si>
    <t>ZDM/P/018</t>
  </si>
  <si>
    <t>Przebudowa  ul. Sypniewo</t>
  </si>
  <si>
    <t>GKM/ZDM/380</t>
  </si>
  <si>
    <t>Budowa nowego i przebudowa istniejącego układu drogowego wraz z niezbędną infrastrukturą dla "Centrum Łacina"</t>
  </si>
  <si>
    <t>ZDM/P/023</t>
  </si>
  <si>
    <t>Budowa Węzła Drogowego DĘBIEC</t>
  </si>
  <si>
    <t>ZDM/P/027</t>
  </si>
  <si>
    <t>Program "Poznań Rataje - Franowo" - przebudowa obiektów inżynierskich nad ul. Inflancką i ul. Chartowo</t>
  </si>
  <si>
    <t>ZDM/P/028</t>
  </si>
  <si>
    <t>Przebudowa układu komunikacyjnego w ciągu DK 92 - drogi dojazdowe do spalarni</t>
  </si>
  <si>
    <t>ZDM/P/030</t>
  </si>
  <si>
    <t xml:space="preserve">Przebudowa węzła komunikacyjnego Rondo Kaponiera </t>
  </si>
  <si>
    <t>Komendy wojewódzkie Policji</t>
  </si>
  <si>
    <t>617</t>
  </si>
  <si>
    <t>ZKB/P/002</t>
  </si>
  <si>
    <t>Dofinansowanie Funduszu Wsparcia Policji - zakupy inwestycyjne</t>
  </si>
  <si>
    <t>Komendy wojewódzkie Państwowej Straży Pożarnej</t>
  </si>
  <si>
    <t>ZKB/P/003</t>
  </si>
  <si>
    <t>Dofinansowanie Funduszu Wsparcia Państwowej Straży Pożarnej - zakupy inwestycyjne</t>
  </si>
  <si>
    <t>Komendy powiatowe Państwowej Straży Pożarnej</t>
  </si>
  <si>
    <t>ZKB/MKPSP/1</t>
  </si>
  <si>
    <t>Dofinansowanie zakupów inwestycyjnych Państwowej Straży Pożarnej</t>
  </si>
  <si>
    <t>ZKB/MKPSP/10</t>
  </si>
  <si>
    <t>Zespół Szkół Samochodowych - projekt "Mechanik motocyklowy z pasją" - zakupy inwestycyjne</t>
  </si>
  <si>
    <t>JE_OGR/SZZE1/6</t>
  </si>
  <si>
    <t>Zespół Szkół Elektrycznych nr 1 - budowa boiska szkolnego wielofunkcyjnego</t>
  </si>
  <si>
    <t>Zakłady opiekuńczo-lecznicze i pielęgnacyjno-opiekuńcze</t>
  </si>
  <si>
    <t>ZSS/P/004</t>
  </si>
  <si>
    <t>Zakład Opiekuńczo-Leczniczy i Rehabilitacji Medycznej - zakupy inwestycyjne</t>
  </si>
  <si>
    <t>ZSS/P/009</t>
  </si>
  <si>
    <t>Zakład Opiekuńczo-Leczniczy i Rehabilitacji Medycznej - rozbudowa budynku głównego przy ul. Mogileńskiej 42 w Poznaniu o nowe skrzydło - program funkcjonalno - użytkowy</t>
  </si>
  <si>
    <t>ZSS/P/010</t>
  </si>
  <si>
    <t xml:space="preserve">Filia ZOLiRM w Owińskach - poprawa jakości i opieki nad osobami niesamodzielnymi, z zaburzeniami psychicznymi i niepełnosprawnymi intelektualnie - </t>
  </si>
  <si>
    <t>ZSS/P/013</t>
  </si>
  <si>
    <t>Kompleksowa modernizacja budynkow w ZOLiRM przy Mogileńskiej</t>
  </si>
  <si>
    <t>ZDM/P/089</t>
  </si>
  <si>
    <t>Dotacja dla powiatu na inwestycje i zakupy inwestycyjne</t>
  </si>
  <si>
    <t>EDUKACYJNA OPIEKA WYCHOWAWCZA</t>
  </si>
  <si>
    <t>Placówki wychowania pozaszkolnego</t>
  </si>
  <si>
    <t>SM_STM/OJ1/4</t>
  </si>
  <si>
    <t>Ogród Jordanowski Nr 1 - zakup i montaż nowych urządzeń zabawowych</t>
  </si>
  <si>
    <t xml:space="preserve">Teatry </t>
  </si>
  <si>
    <t>KD/P/008</t>
  </si>
  <si>
    <t>Teatr Animacji - zakupy inwestycyjne</t>
  </si>
  <si>
    <t>KD/P/011</t>
  </si>
  <si>
    <t>Teatr Ósmego Dnia - zakupy inwestycyjne</t>
  </si>
  <si>
    <t>KD/P/012</t>
  </si>
  <si>
    <t>Teatr Polski - zakupy inwestycyjne</t>
  </si>
  <si>
    <t>Teatr Muzyczny</t>
  </si>
  <si>
    <t>KD/P/009</t>
  </si>
  <si>
    <t>Teatr Muzyczny - modernizacje</t>
  </si>
  <si>
    <t>KD/P/010</t>
  </si>
  <si>
    <t>Teatr Muzyczny - zakupy inwestycyjne</t>
  </si>
  <si>
    <t>KD/P/016</t>
  </si>
  <si>
    <t xml:space="preserve">Program "Centrum" - nowa siedziba Teatru Muzycznego - program funkcjonalno - użytkowy </t>
  </si>
  <si>
    <t>KD/P/004</t>
  </si>
  <si>
    <t>Centrum Sztuki Dziecka - zakupy inwestycyjne</t>
  </si>
  <si>
    <t xml:space="preserve">Estrada Poznańska </t>
  </si>
  <si>
    <t>KD/ESP/2</t>
  </si>
  <si>
    <t>Zakupy inwestycyjne - Estrada Poznańska (Mobilne Systemy Rekreacyjne na Placu Wolności wraz 
z zagospodarowaniem ich otoczenia)</t>
  </si>
  <si>
    <t>Wydatki na zadania z zakresu administracji rządowej wykonywane przez powiat:</t>
  </si>
  <si>
    <t>MKPSP/P/001</t>
  </si>
  <si>
    <t>Budowa budynku strażnicy dla Jednostki Ratowniczo-Gaśniczej PSP w Poznaniu - Smochowicach</t>
  </si>
  <si>
    <t>MKPSP/MKPSP/22</t>
  </si>
  <si>
    <t>Działalność placówek opiekuńczo-wychowawczych</t>
  </si>
  <si>
    <t>Optymalizacja zasobu poprzez przeniesienie rodzinnych ogrodów działkowych</t>
  </si>
  <si>
    <t>???</t>
  </si>
  <si>
    <t>GN/P/004</t>
  </si>
  <si>
    <t>Przystań rzeczna - prace przygotowawcze</t>
  </si>
  <si>
    <t>DZIAŁALNOŚĆ USŁUGOWA</t>
  </si>
  <si>
    <t>Straż gminna (miejska)</t>
  </si>
  <si>
    <t>SMMP/P/001</t>
  </si>
  <si>
    <t xml:space="preserve">Straż Miejska Miasta Poznania - zakupy inwestycyjne </t>
  </si>
  <si>
    <t>ZKB/P/004</t>
  </si>
  <si>
    <t xml:space="preserve">Zakup sprzętu sportowego </t>
  </si>
  <si>
    <t>P/P/004</t>
  </si>
  <si>
    <t>Rezerwa celowa na wydatki jednostek systemu oświaty</t>
  </si>
  <si>
    <t>P/P/005</t>
  </si>
  <si>
    <t>Rezerwa celowa na projekty termorenowacyjne w oświacie</t>
  </si>
  <si>
    <t>Dofinansowanie zakupów inwestycyjnych Ochotniczej Straży Pożarnej</t>
  </si>
  <si>
    <t>Modernizacja systemów bezpieczeństwa w zakresie systemu obserwacji telewizyjnej w budynku stanowiącym siedzibę ZGKiM GEOPOZ i innych jednostek organizacyjnych miasta Poznania</t>
  </si>
  <si>
    <t>KP/P/001</t>
  </si>
  <si>
    <t>Poprawa jakości przestrzeni publicznej w ramach Miejskiego Programu Rewitalizacji</t>
  </si>
  <si>
    <t>KP/P/002</t>
  </si>
  <si>
    <t>Plaża Miejska - pomosty nad Wartą</t>
  </si>
  <si>
    <t>KP/P/004</t>
  </si>
  <si>
    <t>Program "Centrum" - prace koncepcyjne,  badania archeologiczne - płyta Starego Rynku</t>
  </si>
  <si>
    <t>INFORMATYKA</t>
  </si>
  <si>
    <t>GKM/GKM/439</t>
  </si>
  <si>
    <t>Budowa połączeń teletransmisyjnych jednostek miasta</t>
  </si>
  <si>
    <t>GKM/ZTM/472</t>
  </si>
  <si>
    <t>Poznańska Elektroniczna Karta Aglomeracyjna</t>
  </si>
  <si>
    <t>GKM/GKM/461</t>
  </si>
  <si>
    <t>Bezprzewodowy Poznań</t>
  </si>
  <si>
    <t>ADMINISTRACJA PUBLICZNA</t>
  </si>
  <si>
    <t>Urzędy gmin (miast i miast na prawach powiatu)</t>
  </si>
  <si>
    <t>IN/P/001</t>
  </si>
  <si>
    <t>Termomodernizacja obiektow użyteczności publicznej w Poznaniu</t>
  </si>
  <si>
    <t>KP/KP/6</t>
  </si>
  <si>
    <t>Akademia Małego Poznaniaka</t>
  </si>
  <si>
    <t>OCHRONA ZDROWIA</t>
  </si>
  <si>
    <t>Szpitale ogólne</t>
  </si>
  <si>
    <t>622</t>
  </si>
  <si>
    <t>ZSS/P/002</t>
  </si>
  <si>
    <t xml:space="preserve">Wielospecjalistyczny Szpital Miejski im. J. Strusia - zapewnienie właściwej infrastruktury technicznej szpitala - standaryzacja </t>
  </si>
  <si>
    <t>ZSS/P/003</t>
  </si>
  <si>
    <t>ZDM/P/069</t>
  </si>
  <si>
    <t>MOPR/P/001</t>
  </si>
  <si>
    <t xml:space="preserve">MOPR - zakupy inwestycyjne </t>
  </si>
  <si>
    <t>PCS/P/001</t>
  </si>
  <si>
    <t>Poznańskie Centrum Świadczeń - zakupy inwestycyjne</t>
  </si>
  <si>
    <t>PCS/P/002</t>
  </si>
  <si>
    <t>Poznańskie Centrum Świadczeń - modernizacje</t>
  </si>
  <si>
    <t xml:space="preserve">POZOSTAŁE ZADANIA W ZAKRESIE POLITYKI SPOŁECZNEJ </t>
  </si>
  <si>
    <t>Żłobki</t>
  </si>
  <si>
    <t>ZL2/P/001</t>
  </si>
  <si>
    <t xml:space="preserve">Zespół Żłobków nr 2 - modernizacje </t>
  </si>
  <si>
    <t>ZL2/P/002</t>
  </si>
  <si>
    <t>Zespół Żłobków nr 2 - modernizacje placów zabaw</t>
  </si>
  <si>
    <t>ZL4/P/001</t>
  </si>
  <si>
    <t xml:space="preserve">Zespół Żłobków nr 4 - modernizacje </t>
  </si>
  <si>
    <t>KP/KP/1</t>
  </si>
  <si>
    <t>Przeciwdziałanie wykluczeniu cyfrowemu</t>
  </si>
  <si>
    <t>GOSPODARKA KOMUNALNA I OCHRONA ŚRODOWISKA</t>
  </si>
  <si>
    <t>Gospodarka ściekowa i ochrona wód</t>
  </si>
  <si>
    <t>ZDM/P/019</t>
  </si>
  <si>
    <t xml:space="preserve">Wielospecjalistyczny Szpital Miejski im. J. Strusia - zakupy inwestycyjne </t>
  </si>
  <si>
    <t>ZSS/P/005</t>
  </si>
  <si>
    <t>Rozbudowa systemu informatycznego oraz wdrożenie e-usług medycznych w szpitalu ZOZ Poznań-Jeżyce</t>
  </si>
  <si>
    <t>ZSS/P/006</t>
  </si>
  <si>
    <t>Szpital Miejski im.  F. Raszei - przebudowa Oddziału Otolaryngologii</t>
  </si>
  <si>
    <t>Lecznictwo ambulatoryjne</t>
  </si>
  <si>
    <t>ZSS/P/001</t>
  </si>
  <si>
    <t>Poznański Ośrodek Specjalistycznych Usług Medycznych - prace modernizacyjne</t>
  </si>
  <si>
    <t>ZSS/P/008</t>
  </si>
  <si>
    <t>Rozbudowa Hospicjum Palium - III etap</t>
  </si>
  <si>
    <t>POMOC SPOŁECZNA</t>
  </si>
  <si>
    <t>Ośrodki wsparcia</t>
  </si>
  <si>
    <t>ODB1/P/001</t>
  </si>
  <si>
    <t>Ośrodek dla Bezdomnych przy ul. Michałowo - modernizacje</t>
  </si>
  <si>
    <t>Ośrodki pomocy społecznej</t>
  </si>
  <si>
    <t>Budowa oświetlenia ulicznego wydzielonego na drogach oraz iluminacje</t>
  </si>
  <si>
    <t>ZDM/P/016</t>
  </si>
  <si>
    <t>Modernizacja oświetlenia ulicznego</t>
  </si>
  <si>
    <t>UK/P/001</t>
  </si>
  <si>
    <t>Usługi Komunalne - prace modernizacyjne</t>
  </si>
  <si>
    <t>UK/P/003</t>
  </si>
  <si>
    <t>Centra kultury i sztuki</t>
  </si>
  <si>
    <t>Centrum Kultury "Zamek"</t>
  </si>
  <si>
    <t>KD/P/002</t>
  </si>
  <si>
    <t>Centrum Kultury Zamek - modernizacje</t>
  </si>
  <si>
    <t>KD/P/003</t>
  </si>
  <si>
    <t>Centrum Kultury Zamek - zakupy inwestycyjne</t>
  </si>
  <si>
    <t xml:space="preserve">Opracowanie dokumentacji dla projektu "Tu wszystko się zaczęło - ekspozycja świadectw początków państwowości polskiej na Ostrowie Tumskim" </t>
  </si>
  <si>
    <t xml:space="preserve">Pozostałe </t>
  </si>
  <si>
    <t>KP/KP/11</t>
  </si>
  <si>
    <t>ZDM/P/099</t>
  </si>
  <si>
    <t>ZSO1/P/005</t>
  </si>
  <si>
    <t>Technika</t>
  </si>
  <si>
    <t>LOO3/P/006</t>
  </si>
  <si>
    <t>ZSMS2/P/008</t>
  </si>
  <si>
    <t>ZDM/P/092</t>
  </si>
  <si>
    <t>ZSZ6JL/P/013</t>
  </si>
  <si>
    <t>Zespół Szkół Zawodowych nr 6 - modernizacja dachu</t>
  </si>
  <si>
    <t>Modernizacja budynków III Liceum Ogólnokształcącego - etap II</t>
  </si>
  <si>
    <t>PSCH/P/006</t>
  </si>
  <si>
    <t>Plan na 2021 r.</t>
  </si>
  <si>
    <t>Plan na 2022 r.</t>
  </si>
  <si>
    <t>Modernizacja wiaduktu w ciągu ulicy Gołężyckiej</t>
  </si>
  <si>
    <t>Przebudowa wiaduktu w ciągu ulicy Kurlandzkiej wraz z przebudową układu drogowego</t>
  </si>
  <si>
    <t>ZDM/P/116</t>
  </si>
  <si>
    <t>Przebudowa ul. Św. Rocha</t>
  </si>
  <si>
    <t>ZDM/P/117</t>
  </si>
  <si>
    <t xml:space="preserve">Przebudowa ul. Jarochowskiego </t>
  </si>
  <si>
    <t>ZDM/P/118</t>
  </si>
  <si>
    <t>Przebudowa ul. Tarnobrzeskiej</t>
  </si>
  <si>
    <t>ZDM/P/119</t>
  </si>
  <si>
    <t>Przebudowa schodów na Moście Dworcowym</t>
  </si>
  <si>
    <t>ZDM/P/120</t>
  </si>
  <si>
    <t>Przebudowa ul. Tczewskiej i Trzebiatowskiej</t>
  </si>
  <si>
    <t>ZDM/P/121</t>
  </si>
  <si>
    <t>Przebudowa ul. Heweliusza</t>
  </si>
  <si>
    <t>ZSS/P/079</t>
  </si>
  <si>
    <t>Budowa placówki opiekuńczo-wychowawczej (budynek II przy ul. Perzyckiej)</t>
  </si>
  <si>
    <t>OW/P/007</t>
  </si>
  <si>
    <t>Modernizacja Ogrodu Jordanowskiego nr 1 przy ul. Solnej</t>
  </si>
  <si>
    <t>PREZYDENTA MIASTA POZNANIA</t>
  </si>
  <si>
    <t>RAZEM</t>
  </si>
  <si>
    <t>DOCHODY OGÓŁEM</t>
  </si>
  <si>
    <t>PLAN FINANSOWY</t>
  </si>
  <si>
    <t>Dochody na zadania własne gminy:</t>
  </si>
  <si>
    <t>Wydatki majątkowe ogółem:</t>
  </si>
  <si>
    <t>Dochody majątkowe ogółem:</t>
  </si>
  <si>
    <t>FN/U/000</t>
  </si>
  <si>
    <t>Rządowy Fundusz Inwestycji Lokalnych</t>
  </si>
  <si>
    <t>Wpływy do rozliczenia</t>
  </si>
  <si>
    <t>Przebudowa chodnika w ciągu ulicy Mateckiego</t>
  </si>
  <si>
    <t xml:space="preserve">Przebudowa ulicy Lotniczej </t>
  </si>
  <si>
    <t>Renowacja elewacji budynku Zespołu Szkół Ogólnokształcących nr 1</t>
  </si>
  <si>
    <t>Poznańska Szkoła Chóralna Jerzego Kurczewskiego - modernizacja budynku</t>
  </si>
  <si>
    <t>Modernizacja budynku przy ul. Słowackiego 58/60 na potrzeby Centrum Usług Wspólnych Jednostek Oświaty</t>
  </si>
  <si>
    <t>0920</t>
  </si>
  <si>
    <t>90004</t>
  </si>
  <si>
    <t>Rewaloryzacja Parku Tysiąclecia</t>
  </si>
  <si>
    <t>ZZM/P/024</t>
  </si>
  <si>
    <t>Dochody bieżące ogółem:</t>
  </si>
  <si>
    <t>Plan na 2023 r.</t>
  </si>
  <si>
    <t>Plan na 2024 r.</t>
  </si>
  <si>
    <t>ZDM/P/041</t>
  </si>
  <si>
    <t xml:space="preserve">Środki z Funduszu Przeciwdziałania COVID–19 na finansowanie lub dofinansowanie kosztów realizacji inwestycji i zakupów inwestycyjnych związanych z przeciwdziałaniem COVID–19 </t>
  </si>
  <si>
    <t>Odnowa infrastruktury publicznego transportu zbiorowego - modernizacja trasy Poznańskiego Szybkiego Tramwaju</t>
  </si>
  <si>
    <t>ZTM/P/048</t>
  </si>
  <si>
    <t>z dnia 7 grudnia 2021 r.</t>
  </si>
  <si>
    <t>Załącznik nr 8 do zarządzenie Nr 914/2021/P</t>
  </si>
  <si>
    <t>Budowa kładki pieszo - rowerowej nad rzeką Wartą oraz Cybiną pomiędzy Berdychowem, Ostrowem Tumskim oraz Chwaliszewem</t>
  </si>
  <si>
    <t>Plan na 2021r.</t>
  </si>
  <si>
    <t>z dnia 31 stycznia 2022 r.</t>
  </si>
  <si>
    <t>Załącznik  3 do zarządzenia Nr 67/2022/P</t>
  </si>
  <si>
    <t>z dnia 8 marca 2022 r.</t>
  </si>
  <si>
    <t>Załącznik  3 do zarządzenia Nr 177/2022/P</t>
  </si>
  <si>
    <t>7_06_2022</t>
  </si>
  <si>
    <t>z dnia 7 czerwca 2022 r.</t>
  </si>
  <si>
    <t>Realizacja zadań wymagających stosowania specjalnej organizacji nauki i metod pracy dla dzieci i młodzieży w szkołach podstawowych</t>
  </si>
  <si>
    <t>OW/P/006</t>
  </si>
  <si>
    <t>Budowa szkoły na Strzeszynie</t>
  </si>
  <si>
    <t>SP68/P/006</t>
  </si>
  <si>
    <t>Przebudowa budynku Szkoły Podstawowej nr 68 w Poznaniu</t>
  </si>
  <si>
    <t>Załącznik nr 3 do zarządzenia Nr 444/2022/P</t>
  </si>
  <si>
    <t>12_07_2022</t>
  </si>
  <si>
    <t>z dnia 6 września 2022 r.</t>
  </si>
  <si>
    <t>Załącznik nr 3 do zarządzenia Nr 676/2022/P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</si>
</sst>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##\ ###\ ###\ ##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_-;\-* #,##0_-;_-* &quot;-&quot;??_-;_-@_-"/>
    <numFmt numFmtId="173" formatCode="#,##0.00\ &quot;zł&quot;"/>
    <numFmt numFmtId="174" formatCode="[$-415]dddd\,\ d\ mmmm\ yyyy"/>
    <numFmt numFmtId="175" formatCode="#,##0.00_ ;[Red]\-#,##0.00\ "/>
    <numFmt numFmtId="176" formatCode="_-* #,##0.0\ _z_ł_-;\-* #,##0.0\ _z_ł_-;_-* &quot;-&quot;\ _z_ł_-;_-@_-"/>
    <numFmt numFmtId="177" formatCode="_-* #,##0.00\ _z_ł_-;\-* #,##0.00\ _z_ł_-;_-* &quot;-&quot;\ _z_ł_-;_-@_-"/>
    <numFmt numFmtId="178" formatCode="0.0"/>
    <numFmt numFmtId="179" formatCode="0.000"/>
  </numFmts>
  <fonts count="7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0"/>
      <color indexed="10"/>
      <name val="Arial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Times New Roman CE"/>
      <family val="1"/>
    </font>
    <font>
      <sz val="8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4"/>
      <name val="Arial"/>
      <family val="2"/>
    </font>
    <font>
      <u val="single"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b/>
      <sz val="12"/>
      <color indexed="10"/>
      <name val="Arial CE"/>
      <family val="2"/>
    </font>
    <font>
      <sz val="8"/>
      <color indexed="10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i/>
      <sz val="8"/>
      <color indexed="12"/>
      <name val="Arial CE"/>
      <family val="2"/>
    </font>
    <font>
      <sz val="11"/>
      <color indexed="12"/>
      <name val="Arial CE"/>
      <family val="2"/>
    </font>
    <font>
      <b/>
      <sz val="12"/>
      <color indexed="12"/>
      <name val="Arial CE"/>
      <family val="2"/>
    </font>
    <font>
      <b/>
      <sz val="8"/>
      <color indexed="10"/>
      <name val="Arial CE"/>
      <family val="2"/>
    </font>
    <font>
      <b/>
      <sz val="10"/>
      <name val="Arial CE"/>
      <family val="2"/>
    </font>
    <font>
      <b/>
      <i/>
      <sz val="8"/>
      <color indexed="10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8"/>
      <color indexed="12"/>
      <name val="Arial"/>
      <family val="2"/>
    </font>
    <font>
      <i/>
      <sz val="10"/>
      <name val="Arial CE"/>
      <family val="2"/>
    </font>
    <font>
      <b/>
      <sz val="11"/>
      <color indexed="10"/>
      <name val="Arial CE"/>
      <family val="2"/>
    </font>
    <font>
      <b/>
      <i/>
      <sz val="8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mbria"/>
      <family val="1"/>
    </font>
    <font>
      <sz val="7"/>
      <name val="Arial CE"/>
      <family val="2"/>
    </font>
    <font>
      <i/>
      <sz val="10"/>
      <name val="Arial"/>
      <family val="2"/>
    </font>
    <font>
      <sz val="9"/>
      <color indexed="10"/>
      <name val="Arial CE"/>
      <family val="2"/>
    </font>
    <font>
      <sz val="7"/>
      <color indexed="10"/>
      <name val="Arial CE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Times New Roman CE"/>
      <family val="1"/>
    </font>
    <font>
      <sz val="10"/>
      <color rgb="FFFF0000"/>
      <name val="Arial CE"/>
      <family val="2"/>
    </font>
    <font>
      <sz val="8"/>
      <color rgb="FFFF0000"/>
      <name val="Arial CE"/>
      <family val="2"/>
    </font>
    <font>
      <sz val="9"/>
      <color rgb="FFFF0000"/>
      <name val="Arial CE"/>
      <family val="2"/>
    </font>
    <font>
      <sz val="7"/>
      <color rgb="FFFF0000"/>
      <name val="Arial CE"/>
      <family val="2"/>
    </font>
    <font>
      <b/>
      <sz val="10"/>
      <color rgb="FFFF0000"/>
      <name val="Arial CE"/>
      <family val="2"/>
    </font>
    <font>
      <b/>
      <sz val="12"/>
      <color rgb="FFFF0000"/>
      <name val="Arial CE"/>
      <family val="2"/>
    </font>
    <font>
      <b/>
      <sz val="11"/>
      <color rgb="FFFF0000"/>
      <name val="Arial CE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7999799847602844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9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822">
    <xf numFmtId="0" fontId="0" fillId="0" borderId="0" xfId="0" applyAlignment="1">
      <alignment/>
    </xf>
    <xf numFmtId="0" fontId="0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19" fillId="0" borderId="0" xfId="56" applyNumberFormat="1" applyFont="1" applyFill="1" applyBorder="1" applyAlignment="1" applyProtection="1">
      <alignment horizontal="center" vertical="center"/>
      <protection/>
    </xf>
    <xf numFmtId="49" fontId="20" fillId="0" borderId="0" xfId="56" applyNumberFormat="1" applyFont="1" applyFill="1" applyBorder="1" applyAlignment="1" applyProtection="1">
      <alignment horizontal="center" vertical="center"/>
      <protection/>
    </xf>
    <xf numFmtId="166" fontId="20" fillId="0" borderId="0" xfId="56" applyNumberFormat="1" applyFont="1" applyFill="1" applyBorder="1" applyAlignment="1" applyProtection="1">
      <alignment horizontal="right" vertical="center"/>
      <protection/>
    </xf>
    <xf numFmtId="0" fontId="20" fillId="0" borderId="0" xfId="53" applyFont="1" applyBorder="1" applyAlignment="1">
      <alignment horizontal="right" vertical="center"/>
      <protection/>
    </xf>
    <xf numFmtId="4" fontId="0" fillId="0" borderId="0" xfId="0" applyNumberFormat="1" applyFont="1" applyAlignment="1">
      <alignment/>
    </xf>
    <xf numFmtId="0" fontId="21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4" fontId="23" fillId="0" borderId="0" xfId="0" applyNumberFormat="1" applyFont="1" applyBorder="1" applyAlignment="1">
      <alignment/>
    </xf>
    <xf numFmtId="3" fontId="24" fillId="0" borderId="0" xfId="56" applyNumberFormat="1" applyFont="1" applyFill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Alignment="1">
      <alignment/>
    </xf>
    <xf numFmtId="49" fontId="26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" fontId="27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26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4" fontId="25" fillId="0" borderId="10" xfId="0" applyNumberFormat="1" applyFont="1" applyBorder="1" applyAlignment="1">
      <alignment horizontal="right" vertical="center"/>
    </xf>
    <xf numFmtId="49" fontId="26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 wrapText="1"/>
    </xf>
    <xf numFmtId="49" fontId="26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4" fontId="30" fillId="0" borderId="13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49" fontId="26" fillId="0" borderId="18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0" fontId="31" fillId="0" borderId="0" xfId="0" applyFont="1" applyBorder="1" applyAlignment="1">
      <alignment/>
    </xf>
    <xf numFmtId="49" fontId="32" fillId="0" borderId="14" xfId="0" applyNumberFormat="1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/>
    </xf>
    <xf numFmtId="0" fontId="31" fillId="0" borderId="21" xfId="0" applyFont="1" applyFill="1" applyBorder="1" applyAlignment="1">
      <alignment horizontal="left" vertical="center" wrapText="1"/>
    </xf>
    <xf numFmtId="4" fontId="31" fillId="0" borderId="14" xfId="0" applyNumberFormat="1" applyFont="1" applyFill="1" applyBorder="1" applyAlignment="1">
      <alignment horizontal="right" vertical="center"/>
    </xf>
    <xf numFmtId="0" fontId="32" fillId="0" borderId="0" xfId="0" applyFont="1" applyBorder="1" applyAlignment="1">
      <alignment/>
    </xf>
    <xf numFmtId="49" fontId="32" fillId="0" borderId="22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0" fontId="32" fillId="0" borderId="15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center" vertical="center" wrapText="1"/>
    </xf>
    <xf numFmtId="4" fontId="32" fillId="0" borderId="22" xfId="0" applyNumberFormat="1" applyFont="1" applyFill="1" applyBorder="1" applyAlignment="1">
      <alignment horizontal="right" vertical="center"/>
    </xf>
    <xf numFmtId="49" fontId="26" fillId="0" borderId="22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0" fontId="22" fillId="0" borderId="22" xfId="0" applyFont="1" applyFill="1" applyBorder="1" applyAlignment="1">
      <alignment vertic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right" vertical="center"/>
    </xf>
    <xf numFmtId="0" fontId="32" fillId="0" borderId="14" xfId="0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 wrapText="1"/>
    </xf>
    <xf numFmtId="49" fontId="26" fillId="3" borderId="22" xfId="0" applyNumberFormat="1" applyFont="1" applyFill="1" applyBorder="1" applyAlignment="1">
      <alignment horizontal="center" vertical="center"/>
    </xf>
    <xf numFmtId="49" fontId="22" fillId="3" borderId="22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4" fontId="22" fillId="0" borderId="22" xfId="0" applyNumberFormat="1" applyFont="1" applyFill="1" applyBorder="1" applyAlignment="1">
      <alignment horizontal="right" vertical="center"/>
    </xf>
    <xf numFmtId="0" fontId="22" fillId="0" borderId="24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49" fontId="26" fillId="0" borderId="13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4" fontId="25" fillId="0" borderId="13" xfId="0" applyNumberFormat="1" applyFont="1" applyFill="1" applyBorder="1" applyAlignment="1">
      <alignment vertical="center"/>
    </xf>
    <xf numFmtId="0" fontId="33" fillId="0" borderId="0" xfId="0" applyFont="1" applyBorder="1" applyAlignment="1">
      <alignment/>
    </xf>
    <xf numFmtId="49" fontId="34" fillId="3" borderId="22" xfId="0" applyNumberFormat="1" applyFont="1" applyFill="1" applyBorder="1" applyAlignment="1">
      <alignment horizontal="center" vertical="center"/>
    </xf>
    <xf numFmtId="49" fontId="33" fillId="3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 wrapText="1"/>
    </xf>
    <xf numFmtId="4" fontId="33" fillId="0" borderId="22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/>
    </xf>
    <xf numFmtId="49" fontId="34" fillId="0" borderId="22" xfId="0" applyNumberFormat="1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center" vertical="center"/>
    </xf>
    <xf numFmtId="0" fontId="33" fillId="0" borderId="24" xfId="0" applyFont="1" applyFill="1" applyBorder="1" applyAlignment="1">
      <alignment vertical="center" wrapText="1"/>
    </xf>
    <xf numFmtId="49" fontId="34" fillId="0" borderId="15" xfId="0" applyNumberFormat="1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 wrapText="1"/>
    </xf>
    <xf numFmtId="4" fontId="33" fillId="0" borderId="15" xfId="0" applyNumberFormat="1" applyFont="1" applyFill="1" applyBorder="1" applyAlignment="1">
      <alignment vertical="center"/>
    </xf>
    <xf numFmtId="0" fontId="25" fillId="18" borderId="13" xfId="0" applyFont="1" applyFill="1" applyBorder="1" applyAlignment="1">
      <alignment horizontal="center" vertical="center"/>
    </xf>
    <xf numFmtId="0" fontId="25" fillId="18" borderId="0" xfId="0" applyFont="1" applyFill="1" applyBorder="1" applyAlignment="1">
      <alignment vertical="center" wrapText="1"/>
    </xf>
    <xf numFmtId="4" fontId="25" fillId="18" borderId="13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49" fontId="34" fillId="0" borderId="13" xfId="0" applyNumberFormat="1" applyFont="1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 wrapText="1"/>
    </xf>
    <xf numFmtId="4" fontId="36" fillId="0" borderId="13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justify" vertical="center" wrapText="1"/>
    </xf>
    <xf numFmtId="0" fontId="3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justify" vertical="center" wrapText="1"/>
    </xf>
    <xf numFmtId="0" fontId="33" fillId="10" borderId="0" xfId="0" applyFont="1" applyFill="1" applyBorder="1" applyAlignment="1">
      <alignment/>
    </xf>
    <xf numFmtId="49" fontId="34" fillId="10" borderId="13" xfId="0" applyNumberFormat="1" applyFont="1" applyFill="1" applyBorder="1" applyAlignment="1">
      <alignment horizontal="center" vertical="center"/>
    </xf>
    <xf numFmtId="49" fontId="36" fillId="10" borderId="13" xfId="0" applyNumberFormat="1" applyFont="1" applyFill="1" applyBorder="1" applyAlignment="1">
      <alignment horizontal="center" vertical="center"/>
    </xf>
    <xf numFmtId="0" fontId="36" fillId="10" borderId="0" xfId="0" applyFont="1" applyFill="1" applyBorder="1" applyAlignment="1">
      <alignment vertical="center" wrapText="1"/>
    </xf>
    <xf numFmtId="4" fontId="36" fillId="10" borderId="13" xfId="0" applyNumberFormat="1" applyFont="1" applyFill="1" applyBorder="1" applyAlignment="1">
      <alignment vertical="center"/>
    </xf>
    <xf numFmtId="0" fontId="35" fillId="10" borderId="0" xfId="0" applyFont="1" applyFill="1" applyBorder="1" applyAlignment="1">
      <alignment/>
    </xf>
    <xf numFmtId="0" fontId="33" fillId="18" borderId="0" xfId="0" applyFont="1" applyFill="1" applyBorder="1" applyAlignment="1">
      <alignment/>
    </xf>
    <xf numFmtId="0" fontId="35" fillId="18" borderId="0" xfId="0" applyFont="1" applyFill="1" applyBorder="1" applyAlignment="1">
      <alignment/>
    </xf>
    <xf numFmtId="49" fontId="34" fillId="0" borderId="13" xfId="0" applyNumberFormat="1" applyFont="1" applyBorder="1" applyAlignment="1">
      <alignment horizontal="center" vertical="center"/>
    </xf>
    <xf numFmtId="4" fontId="33" fillId="0" borderId="13" xfId="0" applyNumberFormat="1" applyFont="1" applyFill="1" applyBorder="1" applyAlignment="1">
      <alignment vertical="center"/>
    </xf>
    <xf numFmtId="49" fontId="37" fillId="0" borderId="13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49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center" wrapText="1"/>
    </xf>
    <xf numFmtId="4" fontId="38" fillId="0" borderId="13" xfId="0" applyNumberFormat="1" applyFont="1" applyFill="1" applyBorder="1" applyAlignment="1">
      <alignment vertical="center"/>
    </xf>
    <xf numFmtId="0" fontId="39" fillId="0" borderId="0" xfId="0" applyFont="1" applyBorder="1" applyAlignment="1">
      <alignment/>
    </xf>
    <xf numFmtId="0" fontId="40" fillId="0" borderId="0" xfId="0" applyFont="1" applyFill="1" applyAlignment="1">
      <alignment/>
    </xf>
    <xf numFmtId="49" fontId="41" fillId="0" borderId="13" xfId="0" applyNumberFormat="1" applyFont="1" applyFill="1" applyBorder="1" applyAlignment="1">
      <alignment horizontal="center" vertical="center"/>
    </xf>
    <xf numFmtId="49" fontId="37" fillId="9" borderId="1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 wrapText="1"/>
    </xf>
    <xf numFmtId="4" fontId="37" fillId="0" borderId="13" xfId="0" applyNumberFormat="1" applyFont="1" applyFill="1" applyBorder="1" applyAlignment="1">
      <alignment vertical="center"/>
    </xf>
    <xf numFmtId="0" fontId="42" fillId="0" borderId="0" xfId="0" applyFont="1" applyBorder="1" applyAlignment="1">
      <alignment/>
    </xf>
    <xf numFmtId="49" fontId="26" fillId="0" borderId="1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4" fontId="22" fillId="0" borderId="13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49" fontId="22" fillId="0" borderId="13" xfId="0" applyNumberFormat="1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4" fontId="33" fillId="0" borderId="13" xfId="0" applyNumberFormat="1" applyFont="1" applyFill="1" applyBorder="1" applyAlignment="1">
      <alignment horizontal="right" vertical="center"/>
    </xf>
    <xf numFmtId="49" fontId="33" fillId="0" borderId="13" xfId="0" applyNumberFormat="1" applyFont="1" applyFill="1" applyBorder="1" applyAlignment="1">
      <alignment horizontal="center" vertical="center"/>
    </xf>
    <xf numFmtId="4" fontId="36" fillId="0" borderId="13" xfId="0" applyNumberFormat="1" applyFont="1" applyFill="1" applyBorder="1" applyAlignment="1">
      <alignment horizontal="right" vertical="center"/>
    </xf>
    <xf numFmtId="0" fontId="33" fillId="0" borderId="13" xfId="0" applyFont="1" applyFill="1" applyBorder="1" applyAlignment="1">
      <alignment vertical="center" wrapText="1"/>
    </xf>
    <xf numFmtId="0" fontId="36" fillId="0" borderId="0" xfId="0" applyFont="1" applyBorder="1" applyAlignment="1">
      <alignment/>
    </xf>
    <xf numFmtId="49" fontId="36" fillId="0" borderId="13" xfId="0" applyNumberFormat="1" applyFont="1" applyBorder="1" applyAlignment="1">
      <alignment horizontal="center" vertical="center"/>
    </xf>
    <xf numFmtId="0" fontId="36" fillId="0" borderId="25" xfId="0" applyFont="1" applyFill="1" applyBorder="1" applyAlignment="1">
      <alignment vertical="center" wrapText="1"/>
    </xf>
    <xf numFmtId="0" fontId="43" fillId="0" borderId="0" xfId="0" applyFont="1" applyBorder="1" applyAlignment="1">
      <alignment/>
    </xf>
    <xf numFmtId="49" fontId="38" fillId="0" borderId="13" xfId="0" applyNumberFormat="1" applyFont="1" applyBorder="1" applyAlignment="1">
      <alignment horizontal="center" vertical="center"/>
    </xf>
    <xf numFmtId="0" fontId="36" fillId="10" borderId="25" xfId="0" applyFont="1" applyFill="1" applyBorder="1" applyAlignment="1">
      <alignment vertical="center" wrapText="1"/>
    </xf>
    <xf numFmtId="49" fontId="36" fillId="9" borderId="13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36" fillId="0" borderId="14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vertical="center" wrapText="1"/>
    </xf>
    <xf numFmtId="4" fontId="36" fillId="0" borderId="14" xfId="0" applyNumberFormat="1" applyFont="1" applyFill="1" applyBorder="1" applyAlignment="1">
      <alignment vertical="center"/>
    </xf>
    <xf numFmtId="49" fontId="34" fillId="3" borderId="14" xfId="0" applyNumberFormat="1" applyFont="1" applyFill="1" applyBorder="1" applyAlignment="1">
      <alignment horizontal="center" vertical="center"/>
    </xf>
    <xf numFmtId="49" fontId="33" fillId="3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 wrapText="1"/>
    </xf>
    <xf numFmtId="4" fontId="33" fillId="0" borderId="14" xfId="0" applyNumberFormat="1" applyFont="1" applyFill="1" applyBorder="1" applyAlignment="1">
      <alignment horizontal="right" vertical="center"/>
    </xf>
    <xf numFmtId="0" fontId="33" fillId="0" borderId="21" xfId="0" applyFont="1" applyFill="1" applyBorder="1" applyAlignment="1">
      <alignment vertical="center" wrapText="1"/>
    </xf>
    <xf numFmtId="49" fontId="33" fillId="9" borderId="13" xfId="0" applyNumberFormat="1" applyFont="1" applyFill="1" applyBorder="1" applyAlignment="1">
      <alignment horizontal="center" vertical="center"/>
    </xf>
    <xf numFmtId="49" fontId="33" fillId="0" borderId="15" xfId="0" applyNumberFormat="1" applyFont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vertical="center" wrapText="1"/>
    </xf>
    <xf numFmtId="0" fontId="44" fillId="0" borderId="0" xfId="0" applyFont="1" applyBorder="1" applyAlignment="1">
      <alignment/>
    </xf>
    <xf numFmtId="4" fontId="33" fillId="0" borderId="22" xfId="0" applyNumberFormat="1" applyFont="1" applyFill="1" applyBorder="1" applyAlignment="1">
      <alignment vertical="center"/>
    </xf>
    <xf numFmtId="49" fontId="26" fillId="3" borderId="14" xfId="0" applyNumberFormat="1" applyFont="1" applyFill="1" applyBorder="1" applyAlignment="1">
      <alignment horizontal="center" vertical="center"/>
    </xf>
    <xf numFmtId="49" fontId="22" fillId="3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vertical="center" wrapText="1"/>
    </xf>
    <xf numFmtId="4" fontId="25" fillId="0" borderId="14" xfId="0" applyNumberFormat="1" applyFont="1" applyFill="1" applyBorder="1" applyAlignment="1">
      <alignment vertical="center"/>
    </xf>
    <xf numFmtId="0" fontId="25" fillId="0" borderId="14" xfId="0" applyFont="1" applyFill="1" applyBorder="1" applyAlignment="1">
      <alignment vertical="center" wrapText="1"/>
    </xf>
    <xf numFmtId="0" fontId="36" fillId="0" borderId="23" xfId="0" applyFont="1" applyFill="1" applyBorder="1" applyAlignment="1">
      <alignment vertical="center" wrapText="1"/>
    </xf>
    <xf numFmtId="4" fontId="36" fillId="0" borderId="15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49" fontId="36" fillId="9" borderId="14" xfId="0" applyNumberFormat="1" applyFont="1" applyFill="1" applyBorder="1" applyAlignment="1">
      <alignment horizontal="center" vertical="center"/>
    </xf>
    <xf numFmtId="0" fontId="33" fillId="4" borderId="0" xfId="0" applyFont="1" applyFill="1" applyBorder="1" applyAlignment="1">
      <alignment/>
    </xf>
    <xf numFmtId="49" fontId="33" fillId="0" borderId="14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vertical="center" wrapText="1"/>
    </xf>
    <xf numFmtId="0" fontId="36" fillId="0" borderId="1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justify" vertical="center" wrapText="1"/>
    </xf>
    <xf numFmtId="49" fontId="26" fillId="0" borderId="22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left" vertical="center" wrapText="1"/>
    </xf>
    <xf numFmtId="0" fontId="22" fillId="18" borderId="0" xfId="0" applyFont="1" applyFill="1" applyBorder="1" applyAlignment="1">
      <alignment/>
    </xf>
    <xf numFmtId="49" fontId="25" fillId="18" borderId="22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left" vertical="center" wrapText="1"/>
    </xf>
    <xf numFmtId="4" fontId="25" fillId="0" borderId="22" xfId="0" applyNumberFormat="1" applyFont="1" applyFill="1" applyBorder="1" applyAlignment="1">
      <alignment horizontal="right" vertical="center"/>
    </xf>
    <xf numFmtId="0" fontId="33" fillId="19" borderId="0" xfId="0" applyFont="1" applyFill="1" applyBorder="1" applyAlignment="1">
      <alignment/>
    </xf>
    <xf numFmtId="0" fontId="33" fillId="0" borderId="28" xfId="0" applyFont="1" applyFill="1" applyBorder="1" applyAlignment="1">
      <alignment vertical="center" wrapText="1"/>
    </xf>
    <xf numFmtId="0" fontId="36" fillId="0" borderId="27" xfId="0" applyFont="1" applyFill="1" applyBorder="1" applyAlignment="1">
      <alignment vertical="center" wrapText="1"/>
    </xf>
    <xf numFmtId="49" fontId="25" fillId="9" borderId="13" xfId="0" applyNumberFormat="1" applyFont="1" applyFill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/>
    </xf>
    <xf numFmtId="4" fontId="37" fillId="0" borderId="13" xfId="0" applyNumberFormat="1" applyFont="1" applyFill="1" applyBorder="1" applyAlignment="1">
      <alignment horizontal="right" vertical="center"/>
    </xf>
    <xf numFmtId="49" fontId="37" fillId="9" borderId="14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vertical="center" wrapText="1"/>
    </xf>
    <xf numFmtId="4" fontId="37" fillId="0" borderId="14" xfId="0" applyNumberFormat="1" applyFont="1" applyFill="1" applyBorder="1" applyAlignment="1">
      <alignment vertical="center"/>
    </xf>
    <xf numFmtId="49" fontId="34" fillId="0" borderId="14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49" fontId="41" fillId="0" borderId="13" xfId="0" applyNumberFormat="1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center" vertical="center"/>
    </xf>
    <xf numFmtId="0" fontId="36" fillId="0" borderId="15" xfId="0" applyFont="1" applyFill="1" applyBorder="1" applyAlignment="1">
      <alignment vertical="center" wrapText="1"/>
    </xf>
    <xf numFmtId="49" fontId="25" fillId="9" borderId="14" xfId="0" applyNumberFormat="1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vertical="center" wrapText="1"/>
    </xf>
    <xf numFmtId="4" fontId="36" fillId="0" borderId="14" xfId="0" applyNumberFormat="1" applyFont="1" applyFill="1" applyBorder="1" applyAlignment="1">
      <alignment horizontal="right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vertical="center" wrapText="1"/>
    </xf>
    <xf numFmtId="4" fontId="36" fillId="0" borderId="22" xfId="0" applyNumberFormat="1" applyFont="1" applyFill="1" applyBorder="1" applyAlignment="1">
      <alignment horizontal="right" vertical="center"/>
    </xf>
    <xf numFmtId="49" fontId="34" fillId="0" borderId="14" xfId="0" applyNumberFormat="1" applyFont="1" applyFill="1" applyBorder="1" applyAlignment="1">
      <alignment horizontal="center" vertical="center"/>
    </xf>
    <xf numFmtId="49" fontId="36" fillId="0" borderId="14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 wrapText="1"/>
    </xf>
    <xf numFmtId="0" fontId="33" fillId="0" borderId="30" xfId="0" applyFont="1" applyFill="1" applyBorder="1" applyAlignment="1">
      <alignment vertical="center" wrapText="1"/>
    </xf>
    <xf numFmtId="49" fontId="36" fillId="0" borderId="25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36" fillId="0" borderId="0" xfId="0" applyFont="1" applyFill="1" applyAlignment="1">
      <alignment/>
    </xf>
    <xf numFmtId="49" fontId="26" fillId="0" borderId="14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5" fillId="9" borderId="22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 wrapText="1"/>
    </xf>
    <xf numFmtId="4" fontId="25" fillId="0" borderId="22" xfId="0" applyNumberFormat="1" applyFont="1" applyFill="1" applyBorder="1" applyAlignment="1">
      <alignment vertical="center"/>
    </xf>
    <xf numFmtId="0" fontId="33" fillId="0" borderId="29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vertical="center" wrapText="1"/>
    </xf>
    <xf numFmtId="4" fontId="22" fillId="0" borderId="14" xfId="0" applyNumberFormat="1" applyFont="1" applyFill="1" applyBorder="1" applyAlignment="1">
      <alignment horizontal="right" vertical="center"/>
    </xf>
    <xf numFmtId="49" fontId="33" fillId="0" borderId="25" xfId="0" applyNumberFormat="1" applyFont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49" fontId="36" fillId="9" borderId="25" xfId="0" applyNumberFormat="1" applyFont="1" applyFill="1" applyBorder="1" applyAlignment="1">
      <alignment horizontal="center" vertical="center"/>
    </xf>
    <xf numFmtId="0" fontId="36" fillId="10" borderId="25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vertical="center" wrapText="1"/>
    </xf>
    <xf numFmtId="49" fontId="36" fillId="20" borderId="13" xfId="0" applyNumberFormat="1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vertical="center" wrapText="1"/>
    </xf>
    <xf numFmtId="49" fontId="33" fillId="0" borderId="31" xfId="0" applyNumberFormat="1" applyFont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vertical="center" wrapText="1"/>
    </xf>
    <xf numFmtId="4" fontId="33" fillId="0" borderId="27" xfId="0" applyNumberFormat="1" applyFont="1" applyFill="1" applyBorder="1" applyAlignment="1">
      <alignment vertical="center"/>
    </xf>
    <xf numFmtId="0" fontId="33" fillId="0" borderId="24" xfId="0" applyFont="1" applyFill="1" applyBorder="1" applyAlignment="1">
      <alignment horizontal="left" vertical="center" wrapText="1"/>
    </xf>
    <xf numFmtId="0" fontId="36" fillId="0" borderId="24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/>
    </xf>
    <xf numFmtId="0" fontId="36" fillId="0" borderId="32" xfId="0" applyFont="1" applyFill="1" applyBorder="1" applyAlignment="1">
      <alignment horizontal="justify" vertical="center" wrapText="1"/>
    </xf>
    <xf numFmtId="0" fontId="25" fillId="0" borderId="21" xfId="0" applyFont="1" applyFill="1" applyBorder="1" applyAlignment="1">
      <alignment horizontal="justify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4" fillId="18" borderId="0" xfId="0" applyFont="1" applyFill="1" applyAlignment="1">
      <alignment/>
    </xf>
    <xf numFmtId="49" fontId="47" fillId="0" borderId="14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0" fontId="48" fillId="0" borderId="13" xfId="0" applyFont="1" applyBorder="1" applyAlignment="1">
      <alignment/>
    </xf>
    <xf numFmtId="0" fontId="49" fillId="0" borderId="0" xfId="0" applyFont="1" applyAlignment="1">
      <alignment/>
    </xf>
    <xf numFmtId="49" fontId="50" fillId="0" borderId="13" xfId="0" applyNumberFormat="1" applyFont="1" applyBorder="1" applyAlignment="1">
      <alignment horizontal="center"/>
    </xf>
    <xf numFmtId="49" fontId="49" fillId="10" borderId="13" xfId="0" applyNumberFormat="1" applyFont="1" applyFill="1" applyBorder="1" applyAlignment="1">
      <alignment horizontal="center"/>
    </xf>
    <xf numFmtId="0" fontId="51" fillId="0" borderId="32" xfId="0" applyFont="1" applyBorder="1" applyAlignment="1">
      <alignment/>
    </xf>
    <xf numFmtId="49" fontId="50" fillId="0" borderId="14" xfId="0" applyNumberFormat="1" applyFont="1" applyBorder="1" applyAlignment="1">
      <alignment horizontal="center"/>
    </xf>
    <xf numFmtId="49" fontId="49" fillId="10" borderId="14" xfId="0" applyNumberFormat="1" applyFont="1" applyFill="1" applyBorder="1" applyAlignment="1">
      <alignment horizontal="center"/>
    </xf>
    <xf numFmtId="0" fontId="51" fillId="0" borderId="21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3" xfId="0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vertical="center"/>
    </xf>
    <xf numFmtId="4" fontId="32" fillId="0" borderId="20" xfId="0" applyNumberFormat="1" applyFont="1" applyFill="1" applyBorder="1" applyAlignment="1">
      <alignment horizontal="right" vertical="center"/>
    </xf>
    <xf numFmtId="0" fontId="53" fillId="0" borderId="0" xfId="0" applyFont="1" applyBorder="1" applyAlignment="1">
      <alignment/>
    </xf>
    <xf numFmtId="49" fontId="53" fillId="0" borderId="14" xfId="0" applyNumberFormat="1" applyFont="1" applyBorder="1" applyAlignment="1">
      <alignment horizontal="center" vertical="center"/>
    </xf>
    <xf numFmtId="0" fontId="53" fillId="0" borderId="18" xfId="0" applyFont="1" applyFill="1" applyBorder="1" applyAlignment="1">
      <alignment vertical="center"/>
    </xf>
    <xf numFmtId="0" fontId="53" fillId="0" borderId="33" xfId="0" applyFont="1" applyFill="1" applyBorder="1" applyAlignment="1">
      <alignment horizontal="center" vertical="center" wrapText="1"/>
    </xf>
    <xf numFmtId="4" fontId="53" fillId="0" borderId="18" xfId="0" applyNumberFormat="1" applyFont="1" applyFill="1" applyBorder="1" applyAlignment="1">
      <alignment horizontal="right" vertical="center"/>
    </xf>
    <xf numFmtId="4" fontId="53" fillId="0" borderId="0" xfId="0" applyNumberFormat="1" applyFont="1" applyBorder="1" applyAlignment="1">
      <alignment/>
    </xf>
    <xf numFmtId="0" fontId="33" fillId="0" borderId="22" xfId="0" applyFont="1" applyFill="1" applyBorder="1" applyAlignment="1">
      <alignment vertical="center"/>
    </xf>
    <xf numFmtId="0" fontId="33" fillId="0" borderId="22" xfId="0" applyFont="1" applyFill="1" applyBorder="1" applyAlignment="1">
      <alignment horizontal="right" vertical="center"/>
    </xf>
    <xf numFmtId="49" fontId="53" fillId="0" borderId="22" xfId="0" applyNumberFormat="1" applyFont="1" applyBorder="1" applyAlignment="1">
      <alignment horizontal="center" vertical="center"/>
    </xf>
    <xf numFmtId="0" fontId="53" fillId="0" borderId="14" xfId="0" applyFont="1" applyFill="1" applyBorder="1" applyAlignment="1">
      <alignment vertical="center"/>
    </xf>
    <xf numFmtId="0" fontId="53" fillId="0" borderId="21" xfId="0" applyFont="1" applyFill="1" applyBorder="1" applyAlignment="1">
      <alignment horizontal="center" vertical="center" wrapText="1"/>
    </xf>
    <xf numFmtId="4" fontId="53" fillId="0" borderId="22" xfId="0" applyNumberFormat="1" applyFont="1" applyFill="1" applyBorder="1" applyAlignment="1">
      <alignment horizontal="right" vertical="center"/>
    </xf>
    <xf numFmtId="4" fontId="33" fillId="0" borderId="15" xfId="0" applyNumberFormat="1" applyFont="1" applyFill="1" applyBorder="1" applyAlignment="1">
      <alignment horizontal="right" vertical="center"/>
    </xf>
    <xf numFmtId="0" fontId="36" fillId="0" borderId="32" xfId="0" applyFont="1" applyFill="1" applyBorder="1" applyAlignment="1">
      <alignment vertical="center" wrapText="1"/>
    </xf>
    <xf numFmtId="0" fontId="36" fillId="10" borderId="13" xfId="0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" fontId="36" fillId="0" borderId="22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 wrapText="1"/>
    </xf>
    <xf numFmtId="0" fontId="36" fillId="0" borderId="23" xfId="0" applyFont="1" applyFill="1" applyBorder="1" applyAlignment="1">
      <alignment horizontal="justify" vertical="center" wrapText="1"/>
    </xf>
    <xf numFmtId="49" fontId="26" fillId="18" borderId="13" xfId="0" applyNumberFormat="1" applyFont="1" applyFill="1" applyBorder="1" applyAlignment="1">
      <alignment horizontal="center" vertical="center"/>
    </xf>
    <xf numFmtId="49" fontId="22" fillId="18" borderId="13" xfId="0" applyNumberFormat="1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right" vertical="center"/>
    </xf>
    <xf numFmtId="49" fontId="34" fillId="0" borderId="22" xfId="0" applyNumberFormat="1" applyFont="1" applyFill="1" applyBorder="1" applyAlignment="1">
      <alignment horizontal="center" vertical="center"/>
    </xf>
    <xf numFmtId="49" fontId="36" fillId="0" borderId="22" xfId="0" applyNumberFormat="1" applyFont="1" applyFill="1" applyBorder="1" applyAlignment="1">
      <alignment horizontal="center" vertical="center"/>
    </xf>
    <xf numFmtId="49" fontId="34" fillId="0" borderId="15" xfId="0" applyNumberFormat="1" applyFont="1" applyFill="1" applyBorder="1" applyAlignment="1">
      <alignment horizontal="center" vertical="center"/>
    </xf>
    <xf numFmtId="49" fontId="36" fillId="0" borderId="15" xfId="0" applyNumberFormat="1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justify" vertical="center" wrapText="1"/>
    </xf>
    <xf numFmtId="0" fontId="36" fillId="0" borderId="15" xfId="0" applyFont="1" applyFill="1" applyBorder="1" applyAlignment="1">
      <alignment horizontal="justify" vertical="center" wrapText="1"/>
    </xf>
    <xf numFmtId="0" fontId="36" fillId="0" borderId="25" xfId="0" applyFont="1" applyFill="1" applyBorder="1" applyAlignment="1">
      <alignment horizontal="justify" vertical="center" wrapText="1"/>
    </xf>
    <xf numFmtId="0" fontId="54" fillId="0" borderId="0" xfId="0" applyFont="1" applyFill="1" applyAlignment="1">
      <alignment/>
    </xf>
    <xf numFmtId="0" fontId="33" fillId="0" borderId="0" xfId="0" applyFont="1" applyAlignment="1">
      <alignment/>
    </xf>
    <xf numFmtId="49" fontId="36" fillId="9" borderId="22" xfId="0" applyNumberFormat="1" applyFont="1" applyFill="1" applyBorder="1" applyAlignment="1">
      <alignment horizontal="center" vertical="center"/>
    </xf>
    <xf numFmtId="49" fontId="26" fillId="7" borderId="22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justify" vertical="center" wrapText="1"/>
    </xf>
    <xf numFmtId="49" fontId="34" fillId="18" borderId="13" xfId="0" applyNumberFormat="1" applyFont="1" applyFill="1" applyBorder="1" applyAlignment="1">
      <alignment horizontal="center" vertical="center"/>
    </xf>
    <xf numFmtId="49" fontId="36" fillId="18" borderId="13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vertical="center" wrapText="1"/>
    </xf>
    <xf numFmtId="49" fontId="53" fillId="0" borderId="19" xfId="0" applyNumberFormat="1" applyFont="1" applyBorder="1" applyAlignment="1">
      <alignment horizontal="center" vertical="center"/>
    </xf>
    <xf numFmtId="49" fontId="53" fillId="0" borderId="34" xfId="0" applyNumberFormat="1" applyFont="1" applyBorder="1" applyAlignment="1">
      <alignment horizontal="center" vertical="center"/>
    </xf>
    <xf numFmtId="4" fontId="53" fillId="0" borderId="19" xfId="0" applyNumberFormat="1" applyFont="1" applyFill="1" applyBorder="1" applyAlignment="1">
      <alignment horizontal="right" vertical="center"/>
    </xf>
    <xf numFmtId="0" fontId="33" fillId="7" borderId="0" xfId="0" applyFont="1" applyFill="1" applyBorder="1" applyAlignment="1">
      <alignment/>
    </xf>
    <xf numFmtId="0" fontId="36" fillId="0" borderId="13" xfId="0" applyFont="1" applyFill="1" applyBorder="1" applyAlignment="1">
      <alignment horizontal="justify" vertical="center" wrapText="1"/>
    </xf>
    <xf numFmtId="0" fontId="22" fillId="7" borderId="0" xfId="0" applyFont="1" applyFill="1" applyBorder="1" applyAlignment="1">
      <alignment/>
    </xf>
    <xf numFmtId="0" fontId="25" fillId="0" borderId="26" xfId="0" applyFont="1" applyFill="1" applyBorder="1" applyAlignment="1">
      <alignment horizontal="justify" vertical="center" wrapText="1"/>
    </xf>
    <xf numFmtId="0" fontId="22" fillId="0" borderId="28" xfId="0" applyFont="1" applyFill="1" applyBorder="1" applyAlignment="1">
      <alignment horizontal="justify" vertical="center" wrapText="1"/>
    </xf>
    <xf numFmtId="4" fontId="22" fillId="0" borderId="22" xfId="0" applyNumberFormat="1" applyFont="1" applyFill="1" applyBorder="1" applyAlignment="1">
      <alignment vertical="center"/>
    </xf>
    <xf numFmtId="0" fontId="25" fillId="0" borderId="28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 wrapText="1"/>
    </xf>
    <xf numFmtId="4" fontId="44" fillId="0" borderId="14" xfId="0" applyNumberFormat="1" applyFont="1" applyFill="1" applyBorder="1" applyAlignment="1">
      <alignment horizontal="right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vertical="center" wrapText="1"/>
    </xf>
    <xf numFmtId="4" fontId="44" fillId="0" borderId="22" xfId="0" applyNumberFormat="1" applyFont="1" applyFill="1" applyBorder="1" applyAlignment="1">
      <alignment horizontal="right" vertical="center"/>
    </xf>
    <xf numFmtId="49" fontId="25" fillId="9" borderId="16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4" fontId="23" fillId="0" borderId="16" xfId="0" applyNumberFormat="1" applyFont="1" applyFill="1" applyBorder="1" applyAlignment="1">
      <alignment vertical="center"/>
    </xf>
    <xf numFmtId="0" fontId="26" fillId="7" borderId="0" xfId="0" applyFont="1" applyFill="1" applyBorder="1" applyAlignment="1">
      <alignment/>
    </xf>
    <xf numFmtId="0" fontId="22" fillId="0" borderId="35" xfId="0" applyNumberFormat="1" applyFont="1" applyBorder="1" applyAlignment="1">
      <alignment horizontal="left" vertical="center" wrapText="1"/>
    </xf>
    <xf numFmtId="2" fontId="26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Border="1" applyAlignment="1">
      <alignment horizontal="left" vertical="center"/>
    </xf>
    <xf numFmtId="0" fontId="0" fillId="0" borderId="35" xfId="0" applyFont="1" applyBorder="1" applyAlignment="1">
      <alignment wrapText="1"/>
    </xf>
    <xf numFmtId="4" fontId="25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left"/>
    </xf>
    <xf numFmtId="0" fontId="55" fillId="0" borderId="0" xfId="0" applyFont="1" applyAlignment="1">
      <alignment/>
    </xf>
    <xf numFmtId="49" fontId="56" fillId="0" borderId="0" xfId="0" applyNumberFormat="1" applyFont="1" applyAlignment="1">
      <alignment horizontal="center"/>
    </xf>
    <xf numFmtId="49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right"/>
    </xf>
    <xf numFmtId="4" fontId="5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" fontId="0" fillId="18" borderId="0" xfId="0" applyNumberFormat="1" applyFont="1" applyFill="1" applyAlignment="1">
      <alignment/>
    </xf>
    <xf numFmtId="4" fontId="55" fillId="18" borderId="0" xfId="0" applyNumberFormat="1" applyFont="1" applyFill="1" applyAlignment="1">
      <alignment/>
    </xf>
    <xf numFmtId="0" fontId="57" fillId="0" borderId="0" xfId="0" applyFont="1" applyAlignment="1">
      <alignment/>
    </xf>
    <xf numFmtId="49" fontId="57" fillId="0" borderId="0" xfId="0" applyNumberFormat="1" applyFont="1" applyAlignment="1">
      <alignment horizontal="center"/>
    </xf>
    <xf numFmtId="0" fontId="57" fillId="0" borderId="0" xfId="0" applyFont="1" applyAlignment="1">
      <alignment horizontal="right"/>
    </xf>
    <xf numFmtId="4" fontId="57" fillId="18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 horizontal="right"/>
    </xf>
    <xf numFmtId="0" fontId="68" fillId="0" borderId="0" xfId="0" applyFont="1" applyFill="1" applyAlignment="1">
      <alignment/>
    </xf>
    <xf numFmtId="49" fontId="68" fillId="0" borderId="0" xfId="0" applyNumberFormat="1" applyFont="1" applyFill="1" applyBorder="1" applyAlignment="1">
      <alignment horizontal="center" vertical="top"/>
    </xf>
    <xf numFmtId="49" fontId="69" fillId="0" borderId="0" xfId="56" applyNumberFormat="1" applyFont="1" applyFill="1" applyBorder="1" applyAlignment="1" applyProtection="1">
      <alignment horizontal="center" vertical="top"/>
      <protection/>
    </xf>
    <xf numFmtId="0" fontId="70" fillId="0" borderId="0" xfId="0" applyFont="1" applyFill="1" applyAlignment="1">
      <alignment/>
    </xf>
    <xf numFmtId="49" fontId="70" fillId="0" borderId="0" xfId="0" applyNumberFormat="1" applyFont="1" applyFill="1" applyBorder="1" applyAlignment="1">
      <alignment horizontal="center" vertical="top"/>
    </xf>
    <xf numFmtId="49" fontId="71" fillId="0" borderId="0" xfId="0" applyNumberFormat="1" applyFont="1" applyFill="1" applyBorder="1" applyAlignment="1">
      <alignment horizontal="center" vertical="top"/>
    </xf>
    <xf numFmtId="0" fontId="70" fillId="0" borderId="0" xfId="0" applyFont="1" applyFill="1" applyBorder="1" applyAlignment="1">
      <alignment horizontal="center" vertical="center"/>
    </xf>
    <xf numFmtId="49" fontId="71" fillId="0" borderId="0" xfId="0" applyNumberFormat="1" applyFont="1" applyFill="1" applyBorder="1" applyAlignment="1">
      <alignment horizontal="center" vertical="top" wrapText="1"/>
    </xf>
    <xf numFmtId="49" fontId="72" fillId="0" borderId="0" xfId="0" applyNumberFormat="1" applyFont="1" applyFill="1" applyBorder="1" applyAlignment="1">
      <alignment horizontal="center" vertical="top"/>
    </xf>
    <xf numFmtId="49" fontId="73" fillId="0" borderId="0" xfId="0" applyNumberFormat="1" applyFont="1" applyFill="1" applyBorder="1" applyAlignment="1">
      <alignment horizontal="center" vertical="top"/>
    </xf>
    <xf numFmtId="0" fontId="73" fillId="0" borderId="0" xfId="0" applyFont="1" applyFill="1" applyBorder="1" applyAlignment="1">
      <alignment/>
    </xf>
    <xf numFmtId="0" fontId="74" fillId="0" borderId="0" xfId="0" applyFont="1" applyFill="1" applyBorder="1" applyAlignment="1">
      <alignment horizontal="left" vertical="top"/>
    </xf>
    <xf numFmtId="0" fontId="75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top"/>
    </xf>
    <xf numFmtId="0" fontId="76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top"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top"/>
    </xf>
    <xf numFmtId="0" fontId="70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top"/>
    </xf>
    <xf numFmtId="0" fontId="70" fillId="0" borderId="0" xfId="0" applyFont="1" applyFill="1" applyBorder="1" applyAlignment="1">
      <alignment/>
    </xf>
    <xf numFmtId="0" fontId="70" fillId="21" borderId="0" xfId="0" applyFont="1" applyFill="1" applyBorder="1" applyAlignment="1">
      <alignment horizontal="center" vertical="top"/>
    </xf>
    <xf numFmtId="0" fontId="70" fillId="21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49" fontId="76" fillId="0" borderId="0" xfId="0" applyNumberFormat="1" applyFont="1" applyFill="1" applyBorder="1" applyAlignment="1">
      <alignment horizontal="center" vertical="top"/>
    </xf>
    <xf numFmtId="0" fontId="74" fillId="0" borderId="0" xfId="0" applyFont="1" applyFill="1" applyBorder="1" applyAlignment="1">
      <alignment horizontal="center" vertical="top"/>
    </xf>
    <xf numFmtId="0" fontId="74" fillId="0" borderId="0" xfId="0" applyFont="1" applyFill="1" applyBorder="1" applyAlignment="1">
      <alignment/>
    </xf>
    <xf numFmtId="0" fontId="77" fillId="0" borderId="0" xfId="0" applyFont="1" applyFill="1" applyAlignment="1">
      <alignment/>
    </xf>
    <xf numFmtId="0" fontId="68" fillId="0" borderId="0" xfId="0" applyFont="1" applyFill="1" applyBorder="1" applyAlignment="1">
      <alignment vertical="top"/>
    </xf>
    <xf numFmtId="49" fontId="77" fillId="0" borderId="0" xfId="0" applyNumberFormat="1" applyFont="1" applyFill="1" applyBorder="1" applyAlignment="1">
      <alignment horizontal="center" vertical="top"/>
    </xf>
    <xf numFmtId="0" fontId="78" fillId="0" borderId="0" xfId="0" applyFont="1" applyFill="1" applyAlignment="1">
      <alignment/>
    </xf>
    <xf numFmtId="49" fontId="78" fillId="0" borderId="0" xfId="0" applyNumberFormat="1" applyFont="1" applyFill="1" applyBorder="1" applyAlignment="1">
      <alignment horizontal="center" vertical="top"/>
    </xf>
    <xf numFmtId="0" fontId="68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 horizontal="right" vertical="center"/>
    </xf>
    <xf numFmtId="0" fontId="0" fillId="22" borderId="0" xfId="0" applyFont="1" applyFill="1" applyAlignment="1">
      <alignment/>
    </xf>
    <xf numFmtId="40" fontId="20" fillId="22" borderId="0" xfId="0" applyNumberFormat="1" applyFont="1" applyFill="1" applyAlignment="1">
      <alignment horizontal="right" vertical="center"/>
    </xf>
    <xf numFmtId="0" fontId="20" fillId="0" borderId="0" xfId="0" applyFont="1" applyFill="1" applyBorder="1" applyAlignment="1">
      <alignment horizontal="right"/>
    </xf>
    <xf numFmtId="40" fontId="20" fillId="22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40" fontId="20" fillId="22" borderId="0" xfId="0" applyNumberFormat="1" applyFont="1" applyFill="1" applyAlignment="1">
      <alignment horizontal="right"/>
    </xf>
    <xf numFmtId="4" fontId="20" fillId="0" borderId="0" xfId="56" applyNumberFormat="1" applyFont="1" applyFill="1" applyBorder="1" applyAlignment="1">
      <alignment horizontal="right" vertical="center"/>
    </xf>
    <xf numFmtId="40" fontId="20" fillId="22" borderId="0" xfId="56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3" fontId="0" fillId="22" borderId="0" xfId="0" applyNumberFormat="1" applyFont="1" applyFill="1" applyAlignment="1">
      <alignment horizontal="left"/>
    </xf>
    <xf numFmtId="4" fontId="23" fillId="0" borderId="0" xfId="0" applyNumberFormat="1" applyFont="1" applyFill="1" applyBorder="1" applyAlignment="1">
      <alignment/>
    </xf>
    <xf numFmtId="3" fontId="20" fillId="0" borderId="0" xfId="56" applyNumberFormat="1" applyFont="1" applyFill="1" applyBorder="1" applyAlignment="1" applyProtection="1">
      <alignment horizontal="left" vertical="center"/>
      <protection/>
    </xf>
    <xf numFmtId="3" fontId="20" fillId="22" borderId="0" xfId="56" applyNumberFormat="1" applyFont="1" applyFill="1" applyBorder="1" applyAlignment="1" applyProtection="1">
      <alignment horizontal="left" vertical="center"/>
      <protection/>
    </xf>
    <xf numFmtId="0" fontId="61" fillId="0" borderId="0" xfId="0" applyFont="1" applyFill="1" applyAlignment="1">
      <alignment horizontal="right"/>
    </xf>
    <xf numFmtId="40" fontId="61" fillId="22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8" fillId="22" borderId="0" xfId="0" applyFont="1" applyFill="1" applyBorder="1" applyAlignment="1">
      <alignment horizontal="center" vertical="center"/>
    </xf>
    <xf numFmtId="40" fontId="22" fillId="22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/>
    </xf>
    <xf numFmtId="0" fontId="22" fillId="22" borderId="0" xfId="0" applyFont="1" applyFill="1" applyBorder="1" applyAlignment="1">
      <alignment vertical="center" wrapText="1"/>
    </xf>
    <xf numFmtId="40" fontId="25" fillId="22" borderId="0" xfId="0" applyNumberFormat="1" applyFont="1" applyFill="1" applyBorder="1" applyAlignment="1">
      <alignment horizontal="right" vertical="center"/>
    </xf>
    <xf numFmtId="0" fontId="22" fillId="0" borderId="36" xfId="0" applyFont="1" applyFill="1" applyBorder="1" applyAlignment="1">
      <alignment horizontal="center" vertical="center"/>
    </xf>
    <xf numFmtId="4" fontId="30" fillId="0" borderId="37" xfId="0" applyNumberFormat="1" applyFont="1" applyFill="1" applyBorder="1" applyAlignment="1">
      <alignment horizontal="left" vertical="center" wrapText="1"/>
    </xf>
    <xf numFmtId="40" fontId="30" fillId="22" borderId="38" xfId="0" applyNumberFormat="1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 wrapText="1"/>
    </xf>
    <xf numFmtId="0" fontId="62" fillId="0" borderId="43" xfId="0" applyFont="1" applyFill="1" applyBorder="1" applyAlignment="1">
      <alignment horizontal="center" vertical="center" wrapText="1"/>
    </xf>
    <xf numFmtId="0" fontId="62" fillId="0" borderId="44" xfId="0" applyFont="1" applyFill="1" applyBorder="1" applyAlignment="1">
      <alignment horizontal="center" vertical="center" wrapText="1"/>
    </xf>
    <xf numFmtId="0" fontId="62" fillId="22" borderId="45" xfId="0" applyFont="1" applyFill="1" applyBorder="1" applyAlignment="1">
      <alignment horizontal="center" vertical="center" wrapText="1"/>
    </xf>
    <xf numFmtId="0" fontId="62" fillId="22" borderId="42" xfId="0" applyNumberFormat="1" applyFont="1" applyFill="1" applyBorder="1" applyAlignment="1">
      <alignment horizontal="center" vertical="center" wrapText="1"/>
    </xf>
    <xf numFmtId="0" fontId="62" fillId="22" borderId="43" xfId="0" applyNumberFormat="1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left" vertical="center"/>
    </xf>
    <xf numFmtId="0" fontId="44" fillId="0" borderId="42" xfId="0" applyFont="1" applyFill="1" applyBorder="1" applyAlignment="1">
      <alignment horizontal="left" vertical="center"/>
    </xf>
    <xf numFmtId="0" fontId="44" fillId="0" borderId="43" xfId="0" applyFont="1" applyFill="1" applyBorder="1" applyAlignment="1">
      <alignment horizontal="left" vertical="center" wrapText="1"/>
    </xf>
    <xf numFmtId="3" fontId="32" fillId="0" borderId="42" xfId="0" applyNumberFormat="1" applyFont="1" applyFill="1" applyBorder="1" applyAlignment="1">
      <alignment horizontal="right" vertical="center"/>
    </xf>
    <xf numFmtId="3" fontId="32" fillId="0" borderId="43" xfId="0" applyNumberFormat="1" applyFont="1" applyFill="1" applyBorder="1" applyAlignment="1">
      <alignment horizontal="right" vertical="center"/>
    </xf>
    <xf numFmtId="3" fontId="32" fillId="0" borderId="44" xfId="0" applyNumberFormat="1" applyFont="1" applyFill="1" applyBorder="1" applyAlignment="1">
      <alignment horizontal="right" vertical="center"/>
    </xf>
    <xf numFmtId="4" fontId="32" fillId="22" borderId="46" xfId="0" applyNumberFormat="1" applyFont="1" applyFill="1" applyBorder="1" applyAlignment="1">
      <alignment horizontal="right" vertical="center"/>
    </xf>
    <xf numFmtId="40" fontId="32" fillId="22" borderId="42" xfId="0" applyNumberFormat="1" applyFont="1" applyFill="1" applyBorder="1" applyAlignment="1">
      <alignment horizontal="right" vertical="center"/>
    </xf>
    <xf numFmtId="40" fontId="32" fillId="22" borderId="43" xfId="0" applyNumberFormat="1" applyFont="1" applyFill="1" applyBorder="1" applyAlignment="1">
      <alignment horizontal="right" vertical="center"/>
    </xf>
    <xf numFmtId="40" fontId="32" fillId="22" borderId="44" xfId="0" applyNumberFormat="1" applyFont="1" applyFill="1" applyBorder="1" applyAlignment="1">
      <alignment horizontal="right" vertical="center"/>
    </xf>
    <xf numFmtId="4" fontId="32" fillId="0" borderId="42" xfId="0" applyNumberFormat="1" applyFont="1" applyFill="1" applyBorder="1" applyAlignment="1">
      <alignment horizontal="right" vertical="center"/>
    </xf>
    <xf numFmtId="4" fontId="32" fillId="0" borderId="44" xfId="0" applyNumberFormat="1" applyFont="1" applyFill="1" applyBorder="1" applyAlignment="1">
      <alignment horizontal="right" vertical="center"/>
    </xf>
    <xf numFmtId="0" fontId="44" fillId="0" borderId="41" xfId="0" applyFont="1" applyFill="1" applyBorder="1" applyAlignment="1">
      <alignment vertical="center"/>
    </xf>
    <xf numFmtId="0" fontId="44" fillId="0" borderId="42" xfId="0" applyFont="1" applyFill="1" applyBorder="1" applyAlignment="1">
      <alignment vertical="center"/>
    </xf>
    <xf numFmtId="0" fontId="44" fillId="0" borderId="43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vertical="center"/>
    </xf>
    <xf numFmtId="0" fontId="22" fillId="0" borderId="48" xfId="0" applyFont="1" applyFill="1" applyBorder="1" applyAlignment="1">
      <alignment vertical="center"/>
    </xf>
    <xf numFmtId="0" fontId="22" fillId="0" borderId="49" xfId="0" applyFont="1" applyFill="1" applyBorder="1" applyAlignment="1">
      <alignment horizontal="center" vertical="center" wrapText="1"/>
    </xf>
    <xf numFmtId="3" fontId="22" fillId="0" borderId="48" xfId="0" applyNumberFormat="1" applyFont="1" applyFill="1" applyBorder="1" applyAlignment="1">
      <alignment horizontal="center" vertical="center" wrapText="1"/>
    </xf>
    <xf numFmtId="3" fontId="22" fillId="0" borderId="49" xfId="0" applyNumberFormat="1" applyFont="1" applyFill="1" applyBorder="1" applyAlignment="1">
      <alignment horizontal="center" vertical="center" wrapText="1"/>
    </xf>
    <xf numFmtId="3" fontId="22" fillId="0" borderId="50" xfId="0" applyNumberFormat="1" applyFont="1" applyFill="1" applyBorder="1" applyAlignment="1">
      <alignment horizontal="center" vertical="center" wrapText="1"/>
    </xf>
    <xf numFmtId="0" fontId="22" fillId="22" borderId="45" xfId="0" applyFont="1" applyFill="1" applyBorder="1" applyAlignment="1">
      <alignment horizontal="center" vertical="center" wrapText="1"/>
    </xf>
    <xf numFmtId="40" fontId="22" fillId="22" borderId="48" xfId="0" applyNumberFormat="1" applyFont="1" applyFill="1" applyBorder="1" applyAlignment="1">
      <alignment horizontal="center" vertical="center" wrapText="1"/>
    </xf>
    <xf numFmtId="40" fontId="22" fillId="22" borderId="48" xfId="0" applyNumberFormat="1" applyFont="1" applyFill="1" applyBorder="1" applyAlignment="1">
      <alignment horizontal="right" vertical="center" wrapText="1"/>
    </xf>
    <xf numFmtId="40" fontId="22" fillId="22" borderId="49" xfId="0" applyNumberFormat="1" applyFont="1" applyFill="1" applyBorder="1" applyAlignment="1">
      <alignment horizontal="right" vertical="center" wrapText="1"/>
    </xf>
    <xf numFmtId="40" fontId="22" fillId="22" borderId="50" xfId="0" applyNumberFormat="1" applyFont="1" applyFill="1" applyBorder="1" applyAlignment="1">
      <alignment horizontal="right" vertical="center" wrapText="1"/>
    </xf>
    <xf numFmtId="0" fontId="44" fillId="0" borderId="47" xfId="0" applyFont="1" applyFill="1" applyBorder="1" applyAlignment="1">
      <alignment horizontal="center" vertical="top"/>
    </xf>
    <xf numFmtId="0" fontId="44" fillId="0" borderId="48" xfId="0" applyFont="1" applyFill="1" applyBorder="1" applyAlignment="1">
      <alignment horizontal="center" vertical="top"/>
    </xf>
    <xf numFmtId="0" fontId="44" fillId="0" borderId="51" xfId="0" applyFont="1" applyFill="1" applyBorder="1" applyAlignment="1">
      <alignment horizontal="center" vertical="top" wrapText="1"/>
    </xf>
    <xf numFmtId="3" fontId="44" fillId="0" borderId="48" xfId="0" applyNumberFormat="1" applyFont="1" applyFill="1" applyBorder="1" applyAlignment="1">
      <alignment horizontal="right" vertical="top"/>
    </xf>
    <xf numFmtId="3" fontId="44" fillId="0" borderId="49" xfId="0" applyNumberFormat="1" applyFont="1" applyFill="1" applyBorder="1" applyAlignment="1">
      <alignment horizontal="right" vertical="top"/>
    </xf>
    <xf numFmtId="3" fontId="44" fillId="0" borderId="50" xfId="0" applyNumberFormat="1" applyFont="1" applyFill="1" applyBorder="1" applyAlignment="1">
      <alignment horizontal="right" vertical="top"/>
    </xf>
    <xf numFmtId="4" fontId="44" fillId="22" borderId="45" xfId="0" applyNumberFormat="1" applyFont="1" applyFill="1" applyBorder="1" applyAlignment="1">
      <alignment horizontal="right" vertical="top"/>
    </xf>
    <xf numFmtId="40" fontId="44" fillId="22" borderId="48" xfId="0" applyNumberFormat="1" applyFont="1" applyFill="1" applyBorder="1" applyAlignment="1">
      <alignment horizontal="right" vertical="top"/>
    </xf>
    <xf numFmtId="40" fontId="44" fillId="22" borderId="49" xfId="0" applyNumberFormat="1" applyFont="1" applyFill="1" applyBorder="1" applyAlignment="1">
      <alignment horizontal="right" vertical="top"/>
    </xf>
    <xf numFmtId="40" fontId="44" fillId="22" borderId="50" xfId="0" applyNumberFormat="1" applyFont="1" applyFill="1" applyBorder="1" applyAlignment="1">
      <alignment horizontal="right" vertical="top"/>
    </xf>
    <xf numFmtId="4" fontId="44" fillId="0" borderId="48" xfId="0" applyNumberFormat="1" applyFont="1" applyFill="1" applyBorder="1" applyAlignment="1">
      <alignment horizontal="right" vertical="top"/>
    </xf>
    <xf numFmtId="4" fontId="44" fillId="0" borderId="50" xfId="0" applyNumberFormat="1" applyFont="1" applyFill="1" applyBorder="1" applyAlignment="1">
      <alignment horizontal="right" vertical="top"/>
    </xf>
    <xf numFmtId="0" fontId="22" fillId="0" borderId="47" xfId="0" applyFont="1" applyFill="1" applyBorder="1" applyAlignment="1">
      <alignment horizontal="center" vertical="top"/>
    </xf>
    <xf numFmtId="0" fontId="22" fillId="0" borderId="48" xfId="0" applyFont="1" applyFill="1" applyBorder="1" applyAlignment="1">
      <alignment horizontal="center" vertical="top"/>
    </xf>
    <xf numFmtId="0" fontId="22" fillId="0" borderId="49" xfId="0" applyFont="1" applyFill="1" applyBorder="1" applyAlignment="1">
      <alignment vertical="top" wrapText="1"/>
    </xf>
    <xf numFmtId="3" fontId="22" fillId="0" borderId="48" xfId="0" applyNumberFormat="1" applyFont="1" applyFill="1" applyBorder="1" applyAlignment="1">
      <alignment horizontal="right" vertical="top"/>
    </xf>
    <xf numFmtId="3" fontId="22" fillId="0" borderId="49" xfId="0" applyNumberFormat="1" applyFont="1" applyFill="1" applyBorder="1" applyAlignment="1">
      <alignment horizontal="right" vertical="top"/>
    </xf>
    <xf numFmtId="3" fontId="22" fillId="0" borderId="50" xfId="0" applyNumberFormat="1" applyFont="1" applyFill="1" applyBorder="1" applyAlignment="1">
      <alignment horizontal="right" vertical="top"/>
    </xf>
    <xf numFmtId="4" fontId="22" fillId="22" borderId="45" xfId="0" applyNumberFormat="1" applyFont="1" applyFill="1" applyBorder="1" applyAlignment="1">
      <alignment horizontal="right" vertical="top"/>
    </xf>
    <xf numFmtId="40" fontId="22" fillId="22" borderId="48" xfId="0" applyNumberFormat="1" applyFont="1" applyFill="1" applyBorder="1" applyAlignment="1">
      <alignment horizontal="right" vertical="top"/>
    </xf>
    <xf numFmtId="40" fontId="22" fillId="22" borderId="49" xfId="0" applyNumberFormat="1" applyFont="1" applyFill="1" applyBorder="1" applyAlignment="1">
      <alignment horizontal="right" vertical="top"/>
    </xf>
    <xf numFmtId="40" fontId="22" fillId="22" borderId="50" xfId="0" applyNumberFormat="1" applyFont="1" applyFill="1" applyBorder="1" applyAlignment="1">
      <alignment horizontal="right" vertical="top"/>
    </xf>
    <xf numFmtId="4" fontId="22" fillId="0" borderId="48" xfId="0" applyNumberFormat="1" applyFont="1" applyFill="1" applyBorder="1" applyAlignment="1">
      <alignment horizontal="right" vertical="top"/>
    </xf>
    <xf numFmtId="49" fontId="22" fillId="0" borderId="41" xfId="0" applyNumberFormat="1" applyFont="1" applyFill="1" applyBorder="1" applyAlignment="1">
      <alignment horizontal="center" vertical="top"/>
    </xf>
    <xf numFmtId="0" fontId="22" fillId="0" borderId="42" xfId="0" applyFont="1" applyFill="1" applyBorder="1" applyAlignment="1">
      <alignment horizontal="center" vertical="top"/>
    </xf>
    <xf numFmtId="0" fontId="22" fillId="0" borderId="43" xfId="0" applyFont="1" applyFill="1" applyBorder="1" applyAlignment="1">
      <alignment vertical="top" wrapText="1"/>
    </xf>
    <xf numFmtId="3" fontId="22" fillId="0" borderId="42" xfId="0" applyNumberFormat="1" applyFont="1" applyFill="1" applyBorder="1" applyAlignment="1">
      <alignment horizontal="right" vertical="top"/>
    </xf>
    <xf numFmtId="3" fontId="22" fillId="0" borderId="43" xfId="0" applyNumberFormat="1" applyFont="1" applyFill="1" applyBorder="1" applyAlignment="1">
      <alignment horizontal="right" vertical="top"/>
    </xf>
    <xf numFmtId="3" fontId="22" fillId="0" borderId="44" xfId="0" applyNumberFormat="1" applyFont="1" applyFill="1" applyBorder="1" applyAlignment="1">
      <alignment horizontal="right" vertical="top"/>
    </xf>
    <xf numFmtId="4" fontId="22" fillId="22" borderId="46" xfId="0" applyNumberFormat="1" applyFont="1" applyFill="1" applyBorder="1" applyAlignment="1">
      <alignment horizontal="right" vertical="top"/>
    </xf>
    <xf numFmtId="40" fontId="22" fillId="22" borderId="42" xfId="0" applyNumberFormat="1" applyFont="1" applyFill="1" applyBorder="1" applyAlignment="1">
      <alignment horizontal="right" vertical="top"/>
    </xf>
    <xf numFmtId="40" fontId="22" fillId="22" borderId="43" xfId="0" applyNumberFormat="1" applyFont="1" applyFill="1" applyBorder="1" applyAlignment="1">
      <alignment horizontal="right" vertical="top"/>
    </xf>
    <xf numFmtId="40" fontId="22" fillId="22" borderId="44" xfId="0" applyNumberFormat="1" applyFont="1" applyFill="1" applyBorder="1" applyAlignment="1">
      <alignment horizontal="right" vertical="top"/>
    </xf>
    <xf numFmtId="4" fontId="22" fillId="0" borderId="42" xfId="0" applyNumberFormat="1" applyFont="1" applyFill="1" applyBorder="1" applyAlignment="1">
      <alignment horizontal="right" vertical="top"/>
    </xf>
    <xf numFmtId="0" fontId="22" fillId="0" borderId="52" xfId="0" applyFont="1" applyFill="1" applyBorder="1" applyAlignment="1">
      <alignment vertical="center"/>
    </xf>
    <xf numFmtId="0" fontId="22" fillId="0" borderId="51" xfId="0" applyFont="1" applyFill="1" applyBorder="1" applyAlignment="1">
      <alignment vertical="center"/>
    </xf>
    <xf numFmtId="0" fontId="22" fillId="0" borderId="51" xfId="0" applyFont="1" applyFill="1" applyBorder="1" applyAlignment="1">
      <alignment horizontal="center" vertical="center" wrapText="1"/>
    </xf>
    <xf numFmtId="3" fontId="22" fillId="0" borderId="51" xfId="0" applyNumberFormat="1" applyFont="1" applyFill="1" applyBorder="1" applyAlignment="1">
      <alignment horizontal="center" vertical="center" wrapText="1"/>
    </xf>
    <xf numFmtId="3" fontId="22" fillId="0" borderId="53" xfId="0" applyNumberFormat="1" applyFont="1" applyFill="1" applyBorder="1" applyAlignment="1">
      <alignment horizontal="center" vertical="center" wrapText="1"/>
    </xf>
    <xf numFmtId="0" fontId="22" fillId="22" borderId="46" xfId="0" applyFont="1" applyFill="1" applyBorder="1" applyAlignment="1">
      <alignment horizontal="center" vertical="center" wrapText="1"/>
    </xf>
    <xf numFmtId="40" fontId="22" fillId="22" borderId="42" xfId="0" applyNumberFormat="1" applyFont="1" applyFill="1" applyBorder="1" applyAlignment="1">
      <alignment horizontal="center" vertical="center" wrapText="1"/>
    </xf>
    <xf numFmtId="40" fontId="22" fillId="22" borderId="42" xfId="0" applyNumberFormat="1" applyFont="1" applyFill="1" applyBorder="1" applyAlignment="1">
      <alignment horizontal="right" vertical="center" wrapText="1"/>
    </xf>
    <xf numFmtId="40" fontId="22" fillId="22" borderId="43" xfId="0" applyNumberFormat="1" applyFont="1" applyFill="1" applyBorder="1" applyAlignment="1">
      <alignment horizontal="right" vertical="center" wrapText="1"/>
    </xf>
    <xf numFmtId="40" fontId="22" fillId="22" borderId="44" xfId="0" applyNumberFormat="1" applyFont="1" applyFill="1" applyBorder="1" applyAlignment="1">
      <alignment horizontal="right" vertical="center" wrapText="1"/>
    </xf>
    <xf numFmtId="0" fontId="44" fillId="0" borderId="47" xfId="0" applyFont="1" applyFill="1" applyBorder="1" applyAlignment="1">
      <alignment vertical="center"/>
    </xf>
    <xf numFmtId="0" fontId="44" fillId="0" borderId="48" xfId="0" applyFont="1" applyFill="1" applyBorder="1" applyAlignment="1">
      <alignment vertical="center"/>
    </xf>
    <xf numFmtId="0" fontId="44" fillId="0" borderId="49" xfId="0" applyFont="1" applyFill="1" applyBorder="1" applyAlignment="1">
      <alignment horizontal="center" vertical="center" wrapText="1"/>
    </xf>
    <xf numFmtId="3" fontId="32" fillId="0" borderId="48" xfId="0" applyNumberFormat="1" applyFont="1" applyFill="1" applyBorder="1" applyAlignment="1">
      <alignment horizontal="right" vertical="center"/>
    </xf>
    <xf numFmtId="3" fontId="32" fillId="0" borderId="49" xfId="0" applyNumberFormat="1" applyFont="1" applyFill="1" applyBorder="1" applyAlignment="1">
      <alignment horizontal="right" vertical="center"/>
    </xf>
    <xf numFmtId="3" fontId="32" fillId="0" borderId="50" xfId="0" applyNumberFormat="1" applyFont="1" applyFill="1" applyBorder="1" applyAlignment="1">
      <alignment horizontal="right" vertical="center"/>
    </xf>
    <xf numFmtId="4" fontId="32" fillId="22" borderId="45" xfId="0" applyNumberFormat="1" applyFont="1" applyFill="1" applyBorder="1" applyAlignment="1">
      <alignment horizontal="right" vertical="center"/>
    </xf>
    <xf numFmtId="40" fontId="32" fillId="22" borderId="48" xfId="0" applyNumberFormat="1" applyFont="1" applyFill="1" applyBorder="1" applyAlignment="1">
      <alignment horizontal="right" vertical="center"/>
    </xf>
    <xf numFmtId="4" fontId="32" fillId="0" borderId="48" xfId="0" applyNumberFormat="1" applyFont="1" applyFill="1" applyBorder="1" applyAlignment="1">
      <alignment horizontal="right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vertical="center" wrapText="1"/>
    </xf>
    <xf numFmtId="0" fontId="22" fillId="21" borderId="42" xfId="0" applyFont="1" applyFill="1" applyBorder="1" applyAlignment="1">
      <alignment horizontal="center" vertical="top"/>
    </xf>
    <xf numFmtId="0" fontId="44" fillId="0" borderId="55" xfId="0" applyFont="1" applyFill="1" applyBorder="1" applyAlignment="1">
      <alignment horizontal="left" vertical="center" wrapText="1"/>
    </xf>
    <xf numFmtId="3" fontId="32" fillId="0" borderId="56" xfId="0" applyNumberFormat="1" applyFont="1" applyFill="1" applyBorder="1" applyAlignment="1">
      <alignment horizontal="right" vertical="center"/>
    </xf>
    <xf numFmtId="3" fontId="31" fillId="0" borderId="55" xfId="0" applyNumberFormat="1" applyFont="1" applyFill="1" applyBorder="1" applyAlignment="1">
      <alignment horizontal="right" vertical="center"/>
    </xf>
    <xf numFmtId="3" fontId="31" fillId="0" borderId="56" xfId="0" applyNumberFormat="1" applyFont="1" applyFill="1" applyBorder="1" applyAlignment="1">
      <alignment horizontal="right" vertical="center"/>
    </xf>
    <xf numFmtId="3" fontId="31" fillId="0" borderId="57" xfId="0" applyNumberFormat="1" applyFont="1" applyFill="1" applyBorder="1" applyAlignment="1">
      <alignment horizontal="right" vertical="center"/>
    </xf>
    <xf numFmtId="4" fontId="32" fillId="22" borderId="58" xfId="0" applyNumberFormat="1" applyFont="1" applyFill="1" applyBorder="1" applyAlignment="1">
      <alignment horizontal="right" vertical="center"/>
    </xf>
    <xf numFmtId="40" fontId="31" fillId="22" borderId="55" xfId="0" applyNumberFormat="1" applyFont="1" applyFill="1" applyBorder="1" applyAlignment="1">
      <alignment horizontal="right" vertical="center"/>
    </xf>
    <xf numFmtId="40" fontId="31" fillId="22" borderId="56" xfId="0" applyNumberFormat="1" applyFont="1" applyFill="1" applyBorder="1" applyAlignment="1">
      <alignment horizontal="right" vertical="center"/>
    </xf>
    <xf numFmtId="40" fontId="31" fillId="22" borderId="57" xfId="0" applyNumberFormat="1" applyFont="1" applyFill="1" applyBorder="1" applyAlignment="1">
      <alignment horizontal="right" vertical="center"/>
    </xf>
    <xf numFmtId="0" fontId="44" fillId="0" borderId="59" xfId="0" applyFont="1" applyFill="1" applyBorder="1" applyAlignment="1">
      <alignment vertical="center"/>
    </xf>
    <xf numFmtId="0" fontId="44" fillId="0" borderId="60" xfId="0" applyFont="1" applyFill="1" applyBorder="1" applyAlignment="1">
      <alignment vertical="center"/>
    </xf>
    <xf numFmtId="0" fontId="44" fillId="0" borderId="60" xfId="0" applyFont="1" applyFill="1" applyBorder="1" applyAlignment="1">
      <alignment horizontal="center" vertical="center" wrapText="1"/>
    </xf>
    <xf numFmtId="3" fontId="32" fillId="0" borderId="60" xfId="0" applyNumberFormat="1" applyFont="1" applyFill="1" applyBorder="1" applyAlignment="1">
      <alignment horizontal="right" vertical="center"/>
    </xf>
    <xf numFmtId="40" fontId="32" fillId="22" borderId="60" xfId="0" applyNumberFormat="1" applyFont="1" applyFill="1" applyBorder="1" applyAlignment="1">
      <alignment horizontal="right" vertical="center"/>
    </xf>
    <xf numFmtId="0" fontId="22" fillId="0" borderId="60" xfId="0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horizontal="right" vertical="center"/>
    </xf>
    <xf numFmtId="3" fontId="22" fillId="0" borderId="53" xfId="0" applyNumberFormat="1" applyFont="1" applyFill="1" applyBorder="1" applyAlignment="1">
      <alignment horizontal="right" vertical="center"/>
    </xf>
    <xf numFmtId="40" fontId="22" fillId="22" borderId="60" xfId="0" applyNumberFormat="1" applyFont="1" applyFill="1" applyBorder="1" applyAlignment="1">
      <alignment horizontal="right" vertical="center"/>
    </xf>
    <xf numFmtId="40" fontId="22" fillId="22" borderId="42" xfId="0" applyNumberFormat="1" applyFont="1" applyFill="1" applyBorder="1" applyAlignment="1">
      <alignment horizontal="right" vertical="center"/>
    </xf>
    <xf numFmtId="40" fontId="22" fillId="22" borderId="44" xfId="0" applyNumberFormat="1" applyFont="1" applyFill="1" applyBorder="1" applyAlignment="1">
      <alignment horizontal="right" vertical="center"/>
    </xf>
    <xf numFmtId="0" fontId="44" fillId="0" borderId="53" xfId="0" applyFont="1" applyFill="1" applyBorder="1" applyAlignment="1">
      <alignment vertical="center"/>
    </xf>
    <xf numFmtId="0" fontId="44" fillId="0" borderId="54" xfId="0" applyFont="1" applyFill="1" applyBorder="1" applyAlignment="1">
      <alignment horizontal="center" vertical="top"/>
    </xf>
    <xf numFmtId="4" fontId="44" fillId="22" borderId="51" xfId="0" applyNumberFormat="1" applyFont="1" applyFill="1" applyBorder="1" applyAlignment="1">
      <alignment horizontal="right" vertical="top"/>
    </xf>
    <xf numFmtId="40" fontId="44" fillId="22" borderId="51" xfId="0" applyNumberFormat="1" applyFont="1" applyFill="1" applyBorder="1" applyAlignment="1">
      <alignment horizontal="right" vertical="top"/>
    </xf>
    <xf numFmtId="4" fontId="44" fillId="0" borderId="51" xfId="0" applyNumberFormat="1" applyFont="1" applyFill="1" applyBorder="1" applyAlignment="1">
      <alignment horizontal="right" vertical="top"/>
    </xf>
    <xf numFmtId="0" fontId="22" fillId="0" borderId="61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vertical="center" wrapText="1"/>
    </xf>
    <xf numFmtId="3" fontId="22" fillId="0" borderId="48" xfId="0" applyNumberFormat="1" applyFont="1" applyFill="1" applyBorder="1" applyAlignment="1">
      <alignment horizontal="right" vertical="center"/>
    </xf>
    <xf numFmtId="3" fontId="22" fillId="0" borderId="49" xfId="0" applyNumberFormat="1" applyFont="1" applyFill="1" applyBorder="1" applyAlignment="1">
      <alignment horizontal="right" vertical="center"/>
    </xf>
    <xf numFmtId="3" fontId="22" fillId="0" borderId="50" xfId="0" applyNumberFormat="1" applyFont="1" applyFill="1" applyBorder="1" applyAlignment="1">
      <alignment horizontal="right" vertical="center"/>
    </xf>
    <xf numFmtId="4" fontId="22" fillId="23" borderId="51" xfId="0" applyNumberFormat="1" applyFont="1" applyFill="1" applyBorder="1" applyAlignment="1">
      <alignment horizontal="right" vertical="center"/>
    </xf>
    <xf numFmtId="4" fontId="22" fillId="23" borderId="49" xfId="0" applyNumberFormat="1" applyFont="1" applyFill="1" applyBorder="1" applyAlignment="1">
      <alignment horizontal="right" vertical="center"/>
    </xf>
    <xf numFmtId="4" fontId="22" fillId="0" borderId="49" xfId="0" applyNumberFormat="1" applyFont="1" applyFill="1" applyBorder="1" applyAlignment="1">
      <alignment horizontal="right" vertical="center"/>
    </xf>
    <xf numFmtId="0" fontId="22" fillId="0" borderId="64" xfId="0" applyFont="1" applyFill="1" applyBorder="1" applyAlignment="1">
      <alignment horizontal="center" vertical="top"/>
    </xf>
    <xf numFmtId="0" fontId="22" fillId="0" borderId="65" xfId="0" applyFont="1" applyFill="1" applyBorder="1" applyAlignment="1">
      <alignment horizontal="center" vertical="top"/>
    </xf>
    <xf numFmtId="0" fontId="22" fillId="0" borderId="43" xfId="0" applyFont="1" applyFill="1" applyBorder="1" applyAlignment="1">
      <alignment vertical="top" wrapText="1"/>
    </xf>
    <xf numFmtId="3" fontId="22" fillId="0" borderId="48" xfId="0" applyNumberFormat="1" applyFont="1" applyFill="1" applyBorder="1" applyAlignment="1">
      <alignment horizontal="right" vertical="top"/>
    </xf>
    <xf numFmtId="3" fontId="22" fillId="0" borderId="62" xfId="0" applyNumberFormat="1" applyFont="1" applyFill="1" applyBorder="1" applyAlignment="1">
      <alignment horizontal="right" vertical="top"/>
    </xf>
    <xf numFmtId="3" fontId="22" fillId="0" borderId="66" xfId="0" applyNumberFormat="1" applyFont="1" applyFill="1" applyBorder="1" applyAlignment="1">
      <alignment horizontal="right" vertical="top"/>
    </xf>
    <xf numFmtId="3" fontId="22" fillId="0" borderId="63" xfId="0" applyNumberFormat="1" applyFont="1" applyFill="1" applyBorder="1" applyAlignment="1">
      <alignment horizontal="right" vertical="top"/>
    </xf>
    <xf numFmtId="3" fontId="30" fillId="0" borderId="67" xfId="0" applyNumberFormat="1" applyFont="1" applyFill="1" applyBorder="1" applyAlignment="1">
      <alignment vertical="top"/>
    </xf>
    <xf numFmtId="4" fontId="22" fillId="22" borderId="51" xfId="0" applyNumberFormat="1" applyFont="1" applyFill="1" applyBorder="1" applyAlignment="1">
      <alignment horizontal="right" vertical="top"/>
    </xf>
    <xf numFmtId="40" fontId="22" fillId="22" borderId="62" xfId="0" applyNumberFormat="1" applyFont="1" applyFill="1" applyBorder="1" applyAlignment="1">
      <alignment horizontal="right" vertical="top"/>
    </xf>
    <xf numFmtId="40" fontId="22" fillId="22" borderId="63" xfId="0" applyNumberFormat="1" applyFont="1" applyFill="1" applyBorder="1" applyAlignment="1">
      <alignment horizontal="right" vertical="top"/>
    </xf>
    <xf numFmtId="40" fontId="22" fillId="22" borderId="68" xfId="0" applyNumberFormat="1" applyFont="1" applyFill="1" applyBorder="1" applyAlignment="1">
      <alignment horizontal="right" vertical="top"/>
    </xf>
    <xf numFmtId="3" fontId="22" fillId="0" borderId="62" xfId="0" applyNumberFormat="1" applyFont="1" applyFill="1" applyBorder="1" applyAlignment="1">
      <alignment horizontal="right" vertical="center"/>
    </xf>
    <xf numFmtId="3" fontId="22" fillId="0" borderId="66" xfId="0" applyNumberFormat="1" applyFont="1" applyFill="1" applyBorder="1" applyAlignment="1">
      <alignment horizontal="right" vertical="center"/>
    </xf>
    <xf numFmtId="3" fontId="22" fillId="0" borderId="63" xfId="0" applyNumberFormat="1" applyFont="1" applyFill="1" applyBorder="1" applyAlignment="1">
      <alignment horizontal="right" vertical="center"/>
    </xf>
    <xf numFmtId="4" fontId="22" fillId="22" borderId="51" xfId="0" applyNumberFormat="1" applyFont="1" applyFill="1" applyBorder="1" applyAlignment="1">
      <alignment horizontal="right" vertical="center"/>
    </xf>
    <xf numFmtId="40" fontId="22" fillId="22" borderId="62" xfId="0" applyNumberFormat="1" applyFont="1" applyFill="1" applyBorder="1" applyAlignment="1">
      <alignment horizontal="right" vertical="center"/>
    </xf>
    <xf numFmtId="40" fontId="22" fillId="22" borderId="63" xfId="0" applyNumberFormat="1" applyFont="1" applyFill="1" applyBorder="1" applyAlignment="1">
      <alignment horizontal="right" vertical="center"/>
    </xf>
    <xf numFmtId="40" fontId="22" fillId="22" borderId="68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top"/>
    </xf>
    <xf numFmtId="0" fontId="22" fillId="0" borderId="65" xfId="0" applyFont="1" applyFill="1" applyBorder="1" applyAlignment="1">
      <alignment horizontal="center" vertical="top"/>
    </xf>
    <xf numFmtId="0" fontId="22" fillId="0" borderId="65" xfId="0" applyFont="1" applyFill="1" applyBorder="1" applyAlignment="1">
      <alignment vertical="top" wrapText="1"/>
    </xf>
    <xf numFmtId="4" fontId="30" fillId="0" borderId="64" xfId="0" applyNumberFormat="1" applyFont="1" applyFill="1" applyBorder="1" applyAlignment="1">
      <alignment vertical="top"/>
    </xf>
    <xf numFmtId="4" fontId="30" fillId="0" borderId="65" xfId="0" applyNumberFormat="1" applyFont="1" applyFill="1" applyBorder="1" applyAlignment="1">
      <alignment vertical="top"/>
    </xf>
    <xf numFmtId="4" fontId="30" fillId="0" borderId="69" xfId="0" applyNumberFormat="1" applyFont="1" applyFill="1" applyBorder="1" applyAlignment="1">
      <alignment vertical="top"/>
    </xf>
    <xf numFmtId="4" fontId="30" fillId="0" borderId="0" xfId="0" applyNumberFormat="1" applyFont="1" applyFill="1" applyBorder="1" applyAlignment="1">
      <alignment vertical="top"/>
    </xf>
    <xf numFmtId="4" fontId="30" fillId="0" borderId="67" xfId="0" applyNumberFormat="1" applyFont="1" applyFill="1" applyBorder="1" applyAlignment="1">
      <alignment vertical="top"/>
    </xf>
    <xf numFmtId="4" fontId="30" fillId="22" borderId="0" xfId="0" applyNumberFormat="1" applyFont="1" applyFill="1" applyBorder="1" applyAlignment="1">
      <alignment vertical="top"/>
    </xf>
    <xf numFmtId="40" fontId="30" fillId="22" borderId="65" xfId="0" applyNumberFormat="1" applyFont="1" applyFill="1" applyBorder="1" applyAlignment="1">
      <alignment vertical="top"/>
    </xf>
    <xf numFmtId="40" fontId="30" fillId="22" borderId="65" xfId="0" applyNumberFormat="1" applyFont="1" applyFill="1" applyBorder="1" applyAlignment="1">
      <alignment horizontal="right" vertical="top"/>
    </xf>
    <xf numFmtId="40" fontId="30" fillId="22" borderId="0" xfId="0" applyNumberFormat="1" applyFont="1" applyFill="1" applyBorder="1" applyAlignment="1">
      <alignment horizontal="right" vertical="top"/>
    </xf>
    <xf numFmtId="40" fontId="30" fillId="22" borderId="67" xfId="0" applyNumberFormat="1" applyFont="1" applyFill="1" applyBorder="1" applyAlignment="1">
      <alignment horizontal="right" vertical="top"/>
    </xf>
    <xf numFmtId="4" fontId="30" fillId="0" borderId="70" xfId="0" applyNumberFormat="1" applyFont="1" applyFill="1" applyBorder="1" applyAlignment="1">
      <alignment vertical="top"/>
    </xf>
    <xf numFmtId="0" fontId="22" fillId="0" borderId="63" xfId="0" applyFont="1" applyFill="1" applyBorder="1" applyAlignment="1">
      <alignment horizontal="center" vertical="top"/>
    </xf>
    <xf numFmtId="0" fontId="22" fillId="0" borderId="62" xfId="0" applyFont="1" applyFill="1" applyBorder="1" applyAlignment="1">
      <alignment horizontal="center" vertical="top"/>
    </xf>
    <xf numFmtId="0" fontId="22" fillId="0" borderId="62" xfId="0" applyFont="1" applyFill="1" applyBorder="1" applyAlignment="1">
      <alignment vertical="top" wrapText="1"/>
    </xf>
    <xf numFmtId="4" fontId="30" fillId="0" borderId="62" xfId="0" applyNumberFormat="1" applyFont="1" applyFill="1" applyBorder="1" applyAlignment="1">
      <alignment vertical="top"/>
    </xf>
    <xf numFmtId="4" fontId="30" fillId="0" borderId="63" xfId="0" applyNumberFormat="1" applyFont="1" applyFill="1" applyBorder="1" applyAlignment="1">
      <alignment vertical="top"/>
    </xf>
    <xf numFmtId="40" fontId="30" fillId="22" borderId="62" xfId="0" applyNumberFormat="1" applyFont="1" applyFill="1" applyBorder="1" applyAlignment="1">
      <alignment vertical="top"/>
    </xf>
    <xf numFmtId="40" fontId="30" fillId="22" borderId="62" xfId="0" applyNumberFormat="1" applyFont="1" applyFill="1" applyBorder="1" applyAlignment="1">
      <alignment horizontal="right" vertical="top"/>
    </xf>
    <xf numFmtId="40" fontId="30" fillId="22" borderId="63" xfId="0" applyNumberFormat="1" applyFont="1" applyFill="1" applyBorder="1" applyAlignment="1">
      <alignment horizontal="right" vertical="top"/>
    </xf>
    <xf numFmtId="0" fontId="44" fillId="0" borderId="45" xfId="0" applyFont="1" applyFill="1" applyBorder="1" applyAlignment="1">
      <alignment horizontal="center" vertical="top"/>
    </xf>
    <xf numFmtId="0" fontId="44" fillId="0" borderId="48" xfId="0" applyFont="1" applyFill="1" applyBorder="1" applyAlignment="1">
      <alignment horizontal="center" vertical="top" wrapText="1"/>
    </xf>
    <xf numFmtId="4" fontId="44" fillId="0" borderId="54" xfId="0" applyNumberFormat="1" applyFont="1" applyFill="1" applyBorder="1" applyAlignment="1">
      <alignment vertical="top"/>
    </xf>
    <xf numFmtId="4" fontId="44" fillId="22" borderId="51" xfId="0" applyNumberFormat="1" applyFont="1" applyFill="1" applyBorder="1" applyAlignment="1">
      <alignment vertical="top"/>
    </xf>
    <xf numFmtId="0" fontId="22" fillId="0" borderId="45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vertical="center" wrapText="1"/>
    </xf>
    <xf numFmtId="4" fontId="22" fillId="0" borderId="54" xfId="0" applyNumberFormat="1" applyFont="1" applyFill="1" applyBorder="1" applyAlignment="1">
      <alignment vertical="center"/>
    </xf>
    <xf numFmtId="4" fontId="22" fillId="0" borderId="48" xfId="0" applyNumberFormat="1" applyFont="1" applyFill="1" applyBorder="1" applyAlignment="1">
      <alignment horizontal="right" vertical="center"/>
    </xf>
    <xf numFmtId="4" fontId="22" fillId="0" borderId="51" xfId="0" applyNumberFormat="1" applyFont="1" applyFill="1" applyBorder="1" applyAlignment="1">
      <alignment horizontal="right" vertical="center"/>
    </xf>
    <xf numFmtId="4" fontId="22" fillId="0" borderId="50" xfId="0" applyNumberFormat="1" applyFont="1" applyFill="1" applyBorder="1" applyAlignment="1">
      <alignment horizontal="right" vertical="center"/>
    </xf>
    <xf numFmtId="4" fontId="22" fillId="22" borderId="51" xfId="0" applyNumberFormat="1" applyFont="1" applyFill="1" applyBorder="1" applyAlignment="1">
      <alignment vertical="center"/>
    </xf>
    <xf numFmtId="40" fontId="22" fillId="22" borderId="48" xfId="0" applyNumberFormat="1" applyFont="1" applyFill="1" applyBorder="1" applyAlignment="1">
      <alignment horizontal="right" vertical="center"/>
    </xf>
    <xf numFmtId="40" fontId="22" fillId="22" borderId="51" xfId="0" applyNumberFormat="1" applyFont="1" applyFill="1" applyBorder="1" applyAlignment="1">
      <alignment horizontal="right" vertical="center"/>
    </xf>
    <xf numFmtId="40" fontId="22" fillId="22" borderId="50" xfId="0" applyNumberFormat="1" applyFont="1" applyFill="1" applyBorder="1" applyAlignment="1">
      <alignment horizontal="right" vertical="center"/>
    </xf>
    <xf numFmtId="0" fontId="22" fillId="0" borderId="42" xfId="0" applyFont="1" applyFill="1" applyBorder="1" applyAlignment="1">
      <alignment vertical="top" wrapText="1"/>
    </xf>
    <xf numFmtId="0" fontId="22" fillId="0" borderId="45" xfId="0" applyFont="1" applyFill="1" applyBorder="1" applyAlignment="1">
      <alignment horizontal="center" vertical="top"/>
    </xf>
    <xf numFmtId="4" fontId="30" fillId="0" borderId="54" xfId="0" applyNumberFormat="1" applyFont="1" applyFill="1" applyBorder="1" applyAlignment="1">
      <alignment vertical="top"/>
    </xf>
    <xf numFmtId="4" fontId="30" fillId="0" borderId="48" xfId="0" applyNumberFormat="1" applyFont="1" applyFill="1" applyBorder="1" applyAlignment="1">
      <alignment horizontal="right" vertical="top"/>
    </xf>
    <xf numFmtId="4" fontId="30" fillId="0" borderId="51" xfId="0" applyNumberFormat="1" applyFont="1" applyFill="1" applyBorder="1" applyAlignment="1">
      <alignment horizontal="right" vertical="top"/>
    </xf>
    <xf numFmtId="4" fontId="30" fillId="0" borderId="50" xfId="0" applyNumberFormat="1" applyFont="1" applyFill="1" applyBorder="1" applyAlignment="1">
      <alignment horizontal="right" vertical="top"/>
    </xf>
    <xf numFmtId="4" fontId="30" fillId="22" borderId="51" xfId="0" applyNumberFormat="1" applyFont="1" applyFill="1" applyBorder="1" applyAlignment="1">
      <alignment vertical="top"/>
    </xf>
    <xf numFmtId="40" fontId="30" fillId="22" borderId="48" xfId="0" applyNumberFormat="1" applyFont="1" applyFill="1" applyBorder="1" applyAlignment="1">
      <alignment horizontal="right" vertical="top"/>
    </xf>
    <xf numFmtId="40" fontId="30" fillId="22" borderId="51" xfId="0" applyNumberFormat="1" applyFont="1" applyFill="1" applyBorder="1" applyAlignment="1">
      <alignment horizontal="right" vertical="top"/>
    </xf>
    <xf numFmtId="40" fontId="30" fillId="22" borderId="50" xfId="0" applyNumberFormat="1" applyFont="1" applyFill="1" applyBorder="1" applyAlignment="1">
      <alignment horizontal="right" vertical="top"/>
    </xf>
    <xf numFmtId="4" fontId="22" fillId="0" borderId="48" xfId="0" applyNumberFormat="1" applyFont="1" applyFill="1" applyBorder="1" applyAlignment="1">
      <alignment vertical="center"/>
    </xf>
    <xf numFmtId="4" fontId="22" fillId="0" borderId="51" xfId="0" applyNumberFormat="1" applyFont="1" applyFill="1" applyBorder="1" applyAlignment="1">
      <alignment vertical="center"/>
    </xf>
    <xf numFmtId="4" fontId="22" fillId="0" borderId="50" xfId="0" applyNumberFormat="1" applyFont="1" applyFill="1" applyBorder="1" applyAlignment="1">
      <alignment vertical="center"/>
    </xf>
    <xf numFmtId="40" fontId="22" fillId="22" borderId="48" xfId="0" applyNumberFormat="1" applyFont="1" applyFill="1" applyBorder="1" applyAlignment="1">
      <alignment vertical="center"/>
    </xf>
    <xf numFmtId="0" fontId="44" fillId="0" borderId="45" xfId="0" applyFont="1" applyFill="1" applyBorder="1" applyAlignment="1">
      <alignment horizontal="center" vertical="top"/>
    </xf>
    <xf numFmtId="0" fontId="22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top" wrapText="1"/>
    </xf>
    <xf numFmtId="0" fontId="44" fillId="0" borderId="71" xfId="0" applyFont="1" applyFill="1" applyBorder="1" applyAlignment="1">
      <alignment vertical="center"/>
    </xf>
    <xf numFmtId="0" fontId="44" fillId="0" borderId="46" xfId="0" applyFont="1" applyFill="1" applyBorder="1" applyAlignment="1">
      <alignment horizontal="center" vertical="center" wrapText="1"/>
    </xf>
    <xf numFmtId="4" fontId="32" fillId="0" borderId="52" xfId="0" applyNumberFormat="1" applyFont="1" applyFill="1" applyBorder="1" applyAlignment="1">
      <alignment horizontal="right" vertical="center"/>
    </xf>
    <xf numFmtId="4" fontId="32" fillId="0" borderId="43" xfId="0" applyNumberFormat="1" applyFont="1" applyFill="1" applyBorder="1" applyAlignment="1">
      <alignment horizontal="right" vertical="center"/>
    </xf>
    <xf numFmtId="4" fontId="32" fillId="22" borderId="60" xfId="0" applyNumberFormat="1" applyFont="1" applyFill="1" applyBorder="1" applyAlignment="1">
      <alignment horizontal="right" vertical="center"/>
    </xf>
    <xf numFmtId="0" fontId="22" fillId="0" borderId="60" xfId="0" applyFont="1" applyFill="1" applyBorder="1" applyAlignment="1">
      <alignment horizontal="center" vertical="top"/>
    </xf>
    <xf numFmtId="4" fontId="30" fillId="0" borderId="52" xfId="0" applyNumberFormat="1" applyFont="1" applyFill="1" applyBorder="1" applyAlignment="1">
      <alignment vertical="top"/>
    </xf>
    <xf numFmtId="4" fontId="30" fillId="0" borderId="42" xfId="0" applyNumberFormat="1" applyFont="1" applyFill="1" applyBorder="1" applyAlignment="1">
      <alignment vertical="top"/>
    </xf>
    <xf numFmtId="4" fontId="30" fillId="0" borderId="60" xfId="0" applyNumberFormat="1" applyFont="1" applyFill="1" applyBorder="1" applyAlignment="1">
      <alignment vertical="top"/>
    </xf>
    <xf numFmtId="4" fontId="30" fillId="0" borderId="44" xfId="0" applyNumberFormat="1" applyFont="1" applyFill="1" applyBorder="1" applyAlignment="1">
      <alignment vertical="top"/>
    </xf>
    <xf numFmtId="4" fontId="30" fillId="22" borderId="60" xfId="0" applyNumberFormat="1" applyFont="1" applyFill="1" applyBorder="1" applyAlignment="1">
      <alignment vertical="top"/>
    </xf>
    <xf numFmtId="40" fontId="30" fillId="22" borderId="42" xfId="0" applyNumberFormat="1" applyFont="1" applyFill="1" applyBorder="1" applyAlignment="1">
      <alignment vertical="top"/>
    </xf>
    <xf numFmtId="40" fontId="30" fillId="22" borderId="42" xfId="0" applyNumberFormat="1" applyFont="1" applyFill="1" applyBorder="1" applyAlignment="1">
      <alignment horizontal="right" vertical="top"/>
    </xf>
    <xf numFmtId="40" fontId="30" fillId="22" borderId="60" xfId="0" applyNumberFormat="1" applyFont="1" applyFill="1" applyBorder="1" applyAlignment="1">
      <alignment horizontal="right" vertical="top"/>
    </xf>
    <xf numFmtId="40" fontId="30" fillId="22" borderId="44" xfId="0" applyNumberFormat="1" applyFont="1" applyFill="1" applyBorder="1" applyAlignment="1">
      <alignment horizontal="right" vertical="top"/>
    </xf>
    <xf numFmtId="4" fontId="30" fillId="0" borderId="43" xfId="0" applyNumberFormat="1" applyFont="1" applyFill="1" applyBorder="1" applyAlignment="1">
      <alignment vertical="top"/>
    </xf>
    <xf numFmtId="4" fontId="30" fillId="0" borderId="61" xfId="0" applyNumberFormat="1" applyFont="1" applyFill="1" applyBorder="1" applyAlignment="1">
      <alignment vertical="top"/>
    </xf>
    <xf numFmtId="4" fontId="30" fillId="0" borderId="68" xfId="0" applyNumberFormat="1" applyFont="1" applyFill="1" applyBorder="1" applyAlignment="1">
      <alignment vertical="top"/>
    </xf>
    <xf numFmtId="4" fontId="30" fillId="22" borderId="63" xfId="0" applyNumberFormat="1" applyFont="1" applyFill="1" applyBorder="1" applyAlignment="1">
      <alignment vertical="top"/>
    </xf>
    <xf numFmtId="40" fontId="30" fillId="22" borderId="68" xfId="0" applyNumberFormat="1" applyFont="1" applyFill="1" applyBorder="1" applyAlignment="1">
      <alignment horizontal="right" vertical="top"/>
    </xf>
    <xf numFmtId="4" fontId="30" fillId="0" borderId="72" xfId="0" applyNumberFormat="1" applyFont="1" applyFill="1" applyBorder="1" applyAlignment="1">
      <alignment vertical="top"/>
    </xf>
    <xf numFmtId="4" fontId="44" fillId="0" borderId="49" xfId="0" applyNumberFormat="1" applyFont="1" applyFill="1" applyBorder="1" applyAlignment="1">
      <alignment horizontal="right" vertical="top"/>
    </xf>
    <xf numFmtId="4" fontId="44" fillId="0" borderId="62" xfId="0" applyNumberFormat="1" applyFont="1" applyFill="1" applyBorder="1" applyAlignment="1">
      <alignment horizontal="right" vertical="top"/>
    </xf>
    <xf numFmtId="4" fontId="44" fillId="0" borderId="72" xfId="0" applyNumberFormat="1" applyFont="1" applyFill="1" applyBorder="1" applyAlignment="1">
      <alignment horizontal="right" vertical="top"/>
    </xf>
    <xf numFmtId="0" fontId="22" fillId="0" borderId="48" xfId="0" applyFont="1" applyFill="1" applyBorder="1" applyAlignment="1">
      <alignment vertical="top" wrapText="1"/>
    </xf>
    <xf numFmtId="4" fontId="30" fillId="0" borderId="48" xfId="0" applyNumberFormat="1" applyFont="1" applyFill="1" applyBorder="1" applyAlignment="1">
      <alignment vertical="top"/>
    </xf>
    <xf numFmtId="4" fontId="30" fillId="0" borderId="49" xfId="0" applyNumberFormat="1" applyFont="1" applyFill="1" applyBorder="1" applyAlignment="1">
      <alignment vertical="top"/>
    </xf>
    <xf numFmtId="4" fontId="30" fillId="0" borderId="51" xfId="0" applyNumberFormat="1" applyFont="1" applyFill="1" applyBorder="1" applyAlignment="1">
      <alignment vertical="top"/>
    </xf>
    <xf numFmtId="4" fontId="30" fillId="0" borderId="50" xfId="0" applyNumberFormat="1" applyFont="1" applyFill="1" applyBorder="1" applyAlignment="1">
      <alignment vertical="top"/>
    </xf>
    <xf numFmtId="40" fontId="30" fillId="22" borderId="48" xfId="0" applyNumberFormat="1" applyFont="1" applyFill="1" applyBorder="1" applyAlignment="1">
      <alignment vertical="top"/>
    </xf>
    <xf numFmtId="0" fontId="44" fillId="0" borderId="66" xfId="0" applyFont="1" applyFill="1" applyBorder="1" applyAlignment="1">
      <alignment horizontal="center" vertical="top"/>
    </xf>
    <xf numFmtId="0" fontId="44" fillId="0" borderId="62" xfId="0" applyFont="1" applyFill="1" applyBorder="1" applyAlignment="1">
      <alignment horizontal="center" vertical="top"/>
    </xf>
    <xf numFmtId="0" fontId="44" fillId="0" borderId="62" xfId="0" applyFont="1" applyFill="1" applyBorder="1" applyAlignment="1">
      <alignment horizontal="center" vertical="top" wrapText="1"/>
    </xf>
    <xf numFmtId="4" fontId="44" fillId="0" borderId="61" xfId="0" applyNumberFormat="1" applyFont="1" applyFill="1" applyBorder="1" applyAlignment="1">
      <alignment vertical="top"/>
    </xf>
    <xf numFmtId="4" fontId="44" fillId="0" borderId="62" xfId="0" applyNumberFormat="1" applyFont="1" applyFill="1" applyBorder="1" applyAlignment="1">
      <alignment horizontal="right" vertical="top"/>
    </xf>
    <xf numFmtId="4" fontId="44" fillId="0" borderId="72" xfId="0" applyNumberFormat="1" applyFont="1" applyFill="1" applyBorder="1" applyAlignment="1">
      <alignment horizontal="right" vertical="top"/>
    </xf>
    <xf numFmtId="4" fontId="44" fillId="0" borderId="68" xfId="0" applyNumberFormat="1" applyFont="1" applyFill="1" applyBorder="1" applyAlignment="1">
      <alignment horizontal="right" vertical="top"/>
    </xf>
    <xf numFmtId="4" fontId="44" fillId="22" borderId="63" xfId="0" applyNumberFormat="1" applyFont="1" applyFill="1" applyBorder="1" applyAlignment="1">
      <alignment vertical="top"/>
    </xf>
    <xf numFmtId="40" fontId="44" fillId="22" borderId="62" xfId="0" applyNumberFormat="1" applyFont="1" applyFill="1" applyBorder="1" applyAlignment="1">
      <alignment horizontal="right" vertical="top"/>
    </xf>
    <xf numFmtId="40" fontId="44" fillId="22" borderId="72" xfId="0" applyNumberFormat="1" applyFont="1" applyFill="1" applyBorder="1" applyAlignment="1">
      <alignment horizontal="right" vertical="top"/>
    </xf>
    <xf numFmtId="40" fontId="44" fillId="22" borderId="68" xfId="0" applyNumberFormat="1" applyFont="1" applyFill="1" applyBorder="1" applyAlignment="1">
      <alignment horizontal="right" vertical="top"/>
    </xf>
    <xf numFmtId="40" fontId="22" fillId="22" borderId="49" xfId="0" applyNumberFormat="1" applyFont="1" applyFill="1" applyBorder="1" applyAlignment="1">
      <alignment horizontal="right" vertical="center"/>
    </xf>
    <xf numFmtId="4" fontId="30" fillId="0" borderId="49" xfId="0" applyNumberFormat="1" applyFont="1" applyFill="1" applyBorder="1" applyAlignment="1">
      <alignment horizontal="right" vertical="top"/>
    </xf>
    <xf numFmtId="40" fontId="30" fillId="22" borderId="49" xfId="0" applyNumberFormat="1" applyFont="1" applyFill="1" applyBorder="1" applyAlignment="1">
      <alignment horizontal="right" vertical="top"/>
    </xf>
    <xf numFmtId="0" fontId="22" fillId="0" borderId="73" xfId="0" applyFont="1" applyFill="1" applyBorder="1" applyAlignment="1">
      <alignment horizontal="center" vertical="top"/>
    </xf>
    <xf numFmtId="0" fontId="22" fillId="0" borderId="74" xfId="0" applyFont="1" applyFill="1" applyBorder="1" applyAlignment="1">
      <alignment horizontal="center" vertical="top"/>
    </xf>
    <xf numFmtId="0" fontId="22" fillId="0" borderId="74" xfId="0" applyFont="1" applyFill="1" applyBorder="1" applyAlignment="1">
      <alignment vertical="top" wrapText="1"/>
    </xf>
    <xf numFmtId="4" fontId="30" fillId="0" borderId="75" xfId="0" applyNumberFormat="1" applyFont="1" applyFill="1" applyBorder="1" applyAlignment="1">
      <alignment vertical="top"/>
    </xf>
    <xf numFmtId="4" fontId="30" fillId="0" borderId="74" xfId="0" applyNumberFormat="1" applyFont="1" applyFill="1" applyBorder="1" applyAlignment="1">
      <alignment horizontal="right" vertical="top"/>
    </xf>
    <xf numFmtId="4" fontId="30" fillId="0" borderId="76" xfId="0" applyNumberFormat="1" applyFont="1" applyFill="1" applyBorder="1" applyAlignment="1">
      <alignment horizontal="right" vertical="top"/>
    </xf>
    <xf numFmtId="4" fontId="30" fillId="0" borderId="77" xfId="0" applyNumberFormat="1" applyFont="1" applyFill="1" applyBorder="1" applyAlignment="1">
      <alignment horizontal="right" vertical="top"/>
    </xf>
    <xf numFmtId="4" fontId="30" fillId="22" borderId="78" xfId="0" applyNumberFormat="1" applyFont="1" applyFill="1" applyBorder="1" applyAlignment="1">
      <alignment vertical="top"/>
    </xf>
    <xf numFmtId="40" fontId="30" fillId="22" borderId="74" xfId="0" applyNumberFormat="1" applyFont="1" applyFill="1" applyBorder="1" applyAlignment="1">
      <alignment horizontal="right" vertical="top"/>
    </xf>
    <xf numFmtId="40" fontId="30" fillId="22" borderId="76" xfId="0" applyNumberFormat="1" applyFont="1" applyFill="1" applyBorder="1" applyAlignment="1">
      <alignment horizontal="right" vertical="top"/>
    </xf>
    <xf numFmtId="40" fontId="30" fillId="22" borderId="77" xfId="0" applyNumberFormat="1" applyFont="1" applyFill="1" applyBorder="1" applyAlignment="1">
      <alignment horizontal="right" vertical="top"/>
    </xf>
    <xf numFmtId="4" fontId="30" fillId="0" borderId="74" xfId="0" applyNumberFormat="1" applyFont="1" applyFill="1" applyBorder="1" applyAlignment="1">
      <alignment vertical="top"/>
    </xf>
    <xf numFmtId="4" fontId="30" fillId="0" borderId="76" xfId="0" applyNumberFormat="1" applyFont="1" applyFill="1" applyBorder="1" applyAlignment="1">
      <alignment vertical="top"/>
    </xf>
    <xf numFmtId="49" fontId="18" fillId="0" borderId="0" xfId="0" applyNumberFormat="1" applyFont="1" applyFill="1" applyBorder="1" applyAlignment="1">
      <alignment horizontal="center"/>
    </xf>
    <xf numFmtId="0" fontId="0" fillId="22" borderId="0" xfId="0" applyFont="1" applyFill="1" applyBorder="1" applyAlignment="1">
      <alignment horizontal="right"/>
    </xf>
    <xf numFmtId="40" fontId="0" fillId="22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0" fontId="0" fillId="22" borderId="0" xfId="0" applyFont="1" applyFill="1" applyAlignment="1">
      <alignment horizontal="right"/>
    </xf>
    <xf numFmtId="0" fontId="55" fillId="0" borderId="0" xfId="0" applyFont="1" applyFill="1" applyAlignment="1">
      <alignment/>
    </xf>
    <xf numFmtId="40" fontId="55" fillId="22" borderId="0" xfId="0" applyNumberFormat="1" applyFont="1" applyFill="1" applyAlignment="1">
      <alignment/>
    </xf>
    <xf numFmtId="0" fontId="55" fillId="0" borderId="0" xfId="0" applyFont="1" applyFill="1" applyAlignment="1">
      <alignment horizontal="center"/>
    </xf>
    <xf numFmtId="0" fontId="55" fillId="22" borderId="0" xfId="0" applyFont="1" applyFill="1" applyAlignment="1">
      <alignment horizontal="center"/>
    </xf>
    <xf numFmtId="49" fontId="55" fillId="0" borderId="0" xfId="0" applyNumberFormat="1" applyFont="1" applyFill="1" applyAlignment="1">
      <alignment horizontal="center"/>
    </xf>
    <xf numFmtId="49" fontId="55" fillId="22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right"/>
    </xf>
    <xf numFmtId="0" fontId="55" fillId="22" borderId="0" xfId="0" applyFont="1" applyFill="1" applyAlignment="1">
      <alignment horizontal="right"/>
    </xf>
    <xf numFmtId="0" fontId="55" fillId="22" borderId="0" xfId="0" applyFont="1" applyFill="1" applyAlignment="1">
      <alignment/>
    </xf>
    <xf numFmtId="0" fontId="63" fillId="0" borderId="0" xfId="0" applyFont="1" applyFill="1" applyAlignment="1">
      <alignment horizontal="right"/>
    </xf>
    <xf numFmtId="0" fontId="63" fillId="22" borderId="0" xfId="0" applyFont="1" applyFill="1" applyAlignment="1">
      <alignment horizontal="right"/>
    </xf>
    <xf numFmtId="0" fontId="57" fillId="0" borderId="0" xfId="0" applyFont="1" applyFill="1" applyAlignment="1">
      <alignment/>
    </xf>
    <xf numFmtId="40" fontId="57" fillId="22" borderId="0" xfId="0" applyNumberFormat="1" applyFont="1" applyFill="1" applyAlignment="1">
      <alignment/>
    </xf>
    <xf numFmtId="4" fontId="57" fillId="0" borderId="0" xfId="0" applyNumberFormat="1" applyFont="1" applyFill="1" applyAlignment="1">
      <alignment horizontal="right"/>
    </xf>
    <xf numFmtId="4" fontId="57" fillId="22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Border="1" applyAlignment="1">
      <alignment vertical="top" wrapText="1"/>
    </xf>
    <xf numFmtId="4" fontId="22" fillId="0" borderId="48" xfId="0" applyNumberFormat="1" applyFont="1" applyFill="1" applyBorder="1" applyAlignment="1">
      <alignment horizontal="center" vertical="center" wrapText="1"/>
    </xf>
    <xf numFmtId="4" fontId="22" fillId="0" borderId="42" xfId="0" applyNumberFormat="1" applyFont="1" applyFill="1" applyBorder="1" applyAlignment="1">
      <alignment horizontal="center" vertical="center" wrapText="1"/>
    </xf>
    <xf numFmtId="2" fontId="31" fillId="0" borderId="55" xfId="0" applyNumberFormat="1" applyFont="1" applyFill="1" applyBorder="1" applyAlignment="1">
      <alignment horizontal="right" vertical="center"/>
    </xf>
    <xf numFmtId="2" fontId="32" fillId="0" borderId="60" xfId="0" applyNumberFormat="1" applyFont="1" applyFill="1" applyBorder="1" applyAlignment="1">
      <alignment horizontal="right" vertical="center"/>
    </xf>
    <xf numFmtId="2" fontId="22" fillId="0" borderId="60" xfId="0" applyNumberFormat="1" applyFont="1" applyFill="1" applyBorder="1" applyAlignment="1">
      <alignment horizontal="right" vertical="center"/>
    </xf>
    <xf numFmtId="2" fontId="44" fillId="0" borderId="48" xfId="0" applyNumberFormat="1" applyFont="1" applyFill="1" applyBorder="1" applyAlignment="1">
      <alignment horizontal="right" vertical="top"/>
    </xf>
    <xf numFmtId="2" fontId="22" fillId="0" borderId="49" xfId="0" applyNumberFormat="1" applyFont="1" applyFill="1" applyBorder="1" applyAlignment="1">
      <alignment horizontal="right" vertical="center"/>
    </xf>
    <xf numFmtId="2" fontId="22" fillId="0" borderId="49" xfId="0" applyNumberFormat="1" applyFont="1" applyFill="1" applyBorder="1" applyAlignment="1">
      <alignment horizontal="right" vertical="top"/>
    </xf>
    <xf numFmtId="2" fontId="22" fillId="0" borderId="62" xfId="0" applyNumberFormat="1" applyFont="1" applyFill="1" applyBorder="1" applyAlignment="1">
      <alignment horizontal="right" vertical="center"/>
    </xf>
    <xf numFmtId="3" fontId="62" fillId="0" borderId="42" xfId="0" applyNumberFormat="1" applyFont="1" applyFill="1" applyBorder="1" applyAlignment="1">
      <alignment horizontal="center" vertical="center" wrapText="1"/>
    </xf>
    <xf numFmtId="3" fontId="62" fillId="0" borderId="43" xfId="0" applyNumberFormat="1" applyFont="1" applyFill="1" applyBorder="1" applyAlignment="1">
      <alignment horizontal="center" vertical="center" wrapText="1"/>
    </xf>
    <xf numFmtId="3" fontId="62" fillId="0" borderId="50" xfId="0" applyNumberFormat="1" applyFont="1" applyFill="1" applyBorder="1" applyAlignment="1">
      <alignment horizontal="center" vertical="center" wrapText="1"/>
    </xf>
    <xf numFmtId="3" fontId="22" fillId="0" borderId="42" xfId="0" applyNumberFormat="1" applyFont="1" applyFill="1" applyBorder="1" applyAlignment="1">
      <alignment horizontal="center" vertical="center" wrapText="1"/>
    </xf>
    <xf numFmtId="3" fontId="22" fillId="0" borderId="44" xfId="0" applyNumberFormat="1" applyFont="1" applyFill="1" applyBorder="1" applyAlignment="1">
      <alignment horizontal="center" vertical="center" wrapText="1"/>
    </xf>
    <xf numFmtId="3" fontId="22" fillId="0" borderId="42" xfId="0" applyNumberFormat="1" applyFont="1" applyFill="1" applyBorder="1" applyAlignment="1">
      <alignment horizontal="right" vertical="center"/>
    </xf>
    <xf numFmtId="3" fontId="22" fillId="0" borderId="60" xfId="0" applyNumberFormat="1" applyFont="1" applyFill="1" applyBorder="1" applyAlignment="1">
      <alignment horizontal="right" vertical="center"/>
    </xf>
    <xf numFmtId="3" fontId="22" fillId="0" borderId="44" xfId="0" applyNumberFormat="1" applyFont="1" applyFill="1" applyBorder="1" applyAlignment="1">
      <alignment horizontal="right" vertical="center"/>
    </xf>
    <xf numFmtId="3" fontId="44" fillId="0" borderId="51" xfId="0" applyNumberFormat="1" applyFont="1" applyFill="1" applyBorder="1" applyAlignment="1">
      <alignment horizontal="right" vertical="top"/>
    </xf>
    <xf numFmtId="3" fontId="22" fillId="0" borderId="68" xfId="0" applyNumberFormat="1" applyFont="1" applyFill="1" applyBorder="1" applyAlignment="1">
      <alignment horizontal="right" vertical="center"/>
    </xf>
    <xf numFmtId="4" fontId="22" fillId="0" borderId="50" xfId="0" applyNumberFormat="1" applyFont="1" applyFill="1" applyBorder="1" applyAlignment="1">
      <alignment horizontal="center" vertical="center" wrapText="1"/>
    </xf>
    <xf numFmtId="4" fontId="22" fillId="0" borderId="50" xfId="0" applyNumberFormat="1" applyFont="1" applyFill="1" applyBorder="1" applyAlignment="1">
      <alignment horizontal="right" vertical="top"/>
    </xf>
    <xf numFmtId="4" fontId="22" fillId="0" borderId="44" xfId="0" applyNumberFormat="1" applyFont="1" applyFill="1" applyBorder="1" applyAlignment="1">
      <alignment horizontal="right" vertical="top"/>
    </xf>
    <xf numFmtId="4" fontId="22" fillId="0" borderId="51" xfId="0" applyNumberFormat="1" applyFont="1" applyFill="1" applyBorder="1" applyAlignment="1">
      <alignment horizontal="center" vertical="center" wrapText="1"/>
    </xf>
    <xf numFmtId="4" fontId="22" fillId="0" borderId="44" xfId="0" applyNumberFormat="1" applyFont="1" applyFill="1" applyBorder="1" applyAlignment="1">
      <alignment horizontal="center" vertical="center" wrapText="1"/>
    </xf>
    <xf numFmtId="4" fontId="32" fillId="0" borderId="50" xfId="0" applyNumberFormat="1" applyFont="1" applyFill="1" applyBorder="1" applyAlignment="1">
      <alignment horizontal="right" vertical="center"/>
    </xf>
    <xf numFmtId="4" fontId="32" fillId="0" borderId="56" xfId="0" applyNumberFormat="1" applyFont="1" applyFill="1" applyBorder="1" applyAlignment="1">
      <alignment horizontal="right" vertical="center"/>
    </xf>
    <xf numFmtId="4" fontId="31" fillId="0" borderId="55" xfId="0" applyNumberFormat="1" applyFont="1" applyFill="1" applyBorder="1" applyAlignment="1">
      <alignment horizontal="right" vertical="center"/>
    </xf>
    <xf numFmtId="4" fontId="31" fillId="0" borderId="56" xfId="0" applyNumberFormat="1" applyFont="1" applyFill="1" applyBorder="1" applyAlignment="1">
      <alignment horizontal="right" vertical="center"/>
    </xf>
    <xf numFmtId="4" fontId="31" fillId="0" borderId="57" xfId="0" applyNumberFormat="1" applyFont="1" applyFill="1" applyBorder="1" applyAlignment="1">
      <alignment horizontal="right" vertical="center"/>
    </xf>
    <xf numFmtId="4" fontId="32" fillId="0" borderId="60" xfId="0" applyNumberFormat="1" applyFont="1" applyFill="1" applyBorder="1" applyAlignment="1">
      <alignment horizontal="right" vertical="center"/>
    </xf>
    <xf numFmtId="4" fontId="22" fillId="0" borderId="60" xfId="0" applyNumberFormat="1" applyFont="1" applyFill="1" applyBorder="1" applyAlignment="1">
      <alignment horizontal="right" vertical="center"/>
    </xf>
    <xf numFmtId="4" fontId="22" fillId="0" borderId="42" xfId="0" applyNumberFormat="1" applyFont="1" applyFill="1" applyBorder="1" applyAlignment="1">
      <alignment horizontal="right" vertical="center"/>
    </xf>
    <xf numFmtId="4" fontId="22" fillId="0" borderId="44" xfId="0" applyNumberFormat="1" applyFont="1" applyFill="1" applyBorder="1" applyAlignment="1">
      <alignment horizontal="right" vertical="center"/>
    </xf>
    <xf numFmtId="4" fontId="22" fillId="0" borderId="48" xfId="0" applyNumberFormat="1" applyFont="1" applyFill="1" applyBorder="1" applyAlignment="1">
      <alignment horizontal="right" vertical="top"/>
    </xf>
    <xf numFmtId="4" fontId="22" fillId="0" borderId="49" xfId="0" applyNumberFormat="1" applyFont="1" applyFill="1" applyBorder="1" applyAlignment="1">
      <alignment horizontal="right" vertical="top"/>
    </xf>
    <xf numFmtId="4" fontId="22" fillId="0" borderId="62" xfId="0" applyNumberFormat="1" applyFont="1" applyFill="1" applyBorder="1" applyAlignment="1">
      <alignment horizontal="right" vertical="center"/>
    </xf>
    <xf numFmtId="4" fontId="22" fillId="0" borderId="68" xfId="0" applyNumberFormat="1" applyFont="1" applyFill="1" applyBorder="1" applyAlignment="1">
      <alignment horizontal="right" vertical="center"/>
    </xf>
    <xf numFmtId="0" fontId="44" fillId="0" borderId="40" xfId="0" applyFont="1" applyFill="1" applyBorder="1" applyAlignment="1">
      <alignment horizontal="center" vertical="top"/>
    </xf>
    <xf numFmtId="0" fontId="22" fillId="21" borderId="47" xfId="0" applyFont="1" applyFill="1" applyBorder="1" applyAlignment="1">
      <alignment horizontal="center" vertical="top"/>
    </xf>
    <xf numFmtId="0" fontId="20" fillId="21" borderId="0" xfId="0" applyFont="1" applyFill="1" applyAlignment="1">
      <alignment horizontal="right" vertical="center"/>
    </xf>
    <xf numFmtId="0" fontId="20" fillId="21" borderId="0" xfId="0" applyFont="1" applyFill="1" applyBorder="1" applyAlignment="1">
      <alignment horizontal="right"/>
    </xf>
    <xf numFmtId="0" fontId="20" fillId="21" borderId="0" xfId="0" applyFont="1" applyFill="1" applyAlignment="1">
      <alignment horizontal="right"/>
    </xf>
    <xf numFmtId="4" fontId="26" fillId="0" borderId="42" xfId="0" applyNumberFormat="1" applyFont="1" applyFill="1" applyBorder="1" applyAlignment="1">
      <alignment horizontal="right" vertical="center"/>
    </xf>
    <xf numFmtId="4" fontId="32" fillId="0" borderId="42" xfId="0" applyNumberFormat="1" applyFont="1" applyFill="1" applyBorder="1" applyAlignment="1">
      <alignment horizontal="right" vertical="center"/>
    </xf>
    <xf numFmtId="4" fontId="44" fillId="0" borderId="48" xfId="0" applyNumberFormat="1" applyFont="1" applyFill="1" applyBorder="1" applyAlignment="1">
      <alignment horizontal="right" vertical="top"/>
    </xf>
    <xf numFmtId="40" fontId="30" fillId="22" borderId="70" xfId="0" applyNumberFormat="1" applyFont="1" applyFill="1" applyBorder="1" applyAlignment="1">
      <alignment horizontal="right" vertical="top"/>
    </xf>
    <xf numFmtId="0" fontId="22" fillId="0" borderId="66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vertical="center" wrapText="1"/>
    </xf>
    <xf numFmtId="4" fontId="22" fillId="0" borderId="61" xfId="0" applyNumberFormat="1" applyFont="1" applyFill="1" applyBorder="1" applyAlignment="1">
      <alignment vertical="center"/>
    </xf>
    <xf numFmtId="4" fontId="22" fillId="0" borderId="62" xfId="0" applyNumberFormat="1" applyFont="1" applyFill="1" applyBorder="1" applyAlignment="1">
      <alignment vertical="center"/>
    </xf>
    <xf numFmtId="4" fontId="22" fillId="0" borderId="63" xfId="0" applyNumberFormat="1" applyFont="1" applyFill="1" applyBorder="1" applyAlignment="1">
      <alignment vertical="center"/>
    </xf>
    <xf numFmtId="4" fontId="22" fillId="0" borderId="68" xfId="0" applyNumberFormat="1" applyFont="1" applyFill="1" applyBorder="1" applyAlignment="1">
      <alignment vertical="center"/>
    </xf>
    <xf numFmtId="4" fontId="22" fillId="22" borderId="63" xfId="0" applyNumberFormat="1" applyFont="1" applyFill="1" applyBorder="1" applyAlignment="1">
      <alignment vertical="center"/>
    </xf>
    <xf numFmtId="40" fontId="22" fillId="22" borderId="62" xfId="0" applyNumberFormat="1" applyFont="1" applyFill="1" applyBorder="1" applyAlignment="1">
      <alignment vertical="center"/>
    </xf>
    <xf numFmtId="4" fontId="44" fillId="0" borderId="79" xfId="0" applyNumberFormat="1" applyFont="1" applyFill="1" applyBorder="1" applyAlignment="1">
      <alignment horizontal="right" vertical="top"/>
    </xf>
    <xf numFmtId="0" fontId="22" fillId="0" borderId="64" xfId="0" applyFont="1" applyFill="1" applyBorder="1" applyAlignment="1">
      <alignment horizontal="center" vertical="top"/>
    </xf>
    <xf numFmtId="0" fontId="22" fillId="0" borderId="61" xfId="0" applyFont="1" applyFill="1" applyBorder="1" applyAlignment="1">
      <alignment horizontal="center" vertical="top"/>
    </xf>
    <xf numFmtId="0" fontId="22" fillId="0" borderId="47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top"/>
    </xf>
    <xf numFmtId="0" fontId="0" fillId="0" borderId="74" xfId="0" applyFont="1" applyFill="1" applyBorder="1" applyAlignment="1">
      <alignment vertical="top" wrapText="1"/>
    </xf>
    <xf numFmtId="4" fontId="30" fillId="0" borderId="78" xfId="0" applyNumberFormat="1" applyFont="1" applyFill="1" applyBorder="1" applyAlignment="1">
      <alignment horizontal="right" vertical="top"/>
    </xf>
    <xf numFmtId="40" fontId="30" fillId="22" borderId="78" xfId="0" applyNumberFormat="1" applyFont="1" applyFill="1" applyBorder="1" applyAlignment="1">
      <alignment horizontal="right" vertical="top"/>
    </xf>
    <xf numFmtId="4" fontId="30" fillId="0" borderId="81" xfId="0" applyNumberFormat="1" applyFont="1" applyFill="1" applyBorder="1" applyAlignment="1">
      <alignment vertical="top"/>
    </xf>
    <xf numFmtId="4" fontId="30" fillId="0" borderId="82" xfId="0" applyNumberFormat="1" applyFont="1" applyFill="1" applyBorder="1" applyAlignment="1">
      <alignment vertical="top"/>
    </xf>
    <xf numFmtId="0" fontId="22" fillId="21" borderId="52" xfId="0" applyFont="1" applyFill="1" applyBorder="1" applyAlignment="1">
      <alignment horizontal="center" vertical="top"/>
    </xf>
    <xf numFmtId="0" fontId="22" fillId="21" borderId="43" xfId="0" applyFont="1" applyFill="1" applyBorder="1" applyAlignment="1">
      <alignment vertical="top" wrapText="1"/>
    </xf>
    <xf numFmtId="3" fontId="30" fillId="21" borderId="42" xfId="0" applyNumberFormat="1" applyFont="1" applyFill="1" applyBorder="1" applyAlignment="1">
      <alignment vertical="top"/>
    </xf>
    <xf numFmtId="3" fontId="30" fillId="21" borderId="46" xfId="0" applyNumberFormat="1" applyFont="1" applyFill="1" applyBorder="1" applyAlignment="1">
      <alignment vertical="top"/>
    </xf>
    <xf numFmtId="3" fontId="30" fillId="21" borderId="60" xfId="0" applyNumberFormat="1" applyFont="1" applyFill="1" applyBorder="1" applyAlignment="1">
      <alignment vertical="top"/>
    </xf>
    <xf numFmtId="3" fontId="30" fillId="21" borderId="44" xfId="0" applyNumberFormat="1" applyFont="1" applyFill="1" applyBorder="1" applyAlignment="1">
      <alignment vertical="top"/>
    </xf>
    <xf numFmtId="4" fontId="30" fillId="21" borderId="60" xfId="0" applyNumberFormat="1" applyFont="1" applyFill="1" applyBorder="1" applyAlignment="1">
      <alignment vertical="top"/>
    </xf>
    <xf numFmtId="40" fontId="30" fillId="21" borderId="42" xfId="0" applyNumberFormat="1" applyFont="1" applyFill="1" applyBorder="1" applyAlignment="1">
      <alignment vertical="top"/>
    </xf>
    <xf numFmtId="40" fontId="30" fillId="21" borderId="42" xfId="0" applyNumberFormat="1" applyFont="1" applyFill="1" applyBorder="1" applyAlignment="1">
      <alignment horizontal="right" vertical="top"/>
    </xf>
    <xf numFmtId="40" fontId="30" fillId="21" borderId="60" xfId="0" applyNumberFormat="1" applyFont="1" applyFill="1" applyBorder="1" applyAlignment="1">
      <alignment horizontal="right" vertical="top"/>
    </xf>
    <xf numFmtId="40" fontId="30" fillId="21" borderId="44" xfId="0" applyNumberFormat="1" applyFont="1" applyFill="1" applyBorder="1" applyAlignment="1">
      <alignment horizontal="right" vertical="top"/>
    </xf>
    <xf numFmtId="2" fontId="30" fillId="21" borderId="42" xfId="0" applyNumberFormat="1" applyFont="1" applyFill="1" applyBorder="1" applyAlignment="1">
      <alignment vertical="top"/>
    </xf>
    <xf numFmtId="3" fontId="30" fillId="21" borderId="43" xfId="0" applyNumberFormat="1" applyFont="1" applyFill="1" applyBorder="1" applyAlignment="1">
      <alignment vertical="top"/>
    </xf>
    <xf numFmtId="4" fontId="30" fillId="21" borderId="42" xfId="0" applyNumberFormat="1" applyFont="1" applyFill="1" applyBorder="1" applyAlignment="1">
      <alignment vertical="top"/>
    </xf>
    <xf numFmtId="4" fontId="22" fillId="0" borderId="43" xfId="0" applyNumberFormat="1" applyFont="1" applyFill="1" applyBorder="1" applyAlignment="1">
      <alignment horizontal="right" vertical="top"/>
    </xf>
    <xf numFmtId="4" fontId="30" fillId="21" borderId="43" xfId="0" applyNumberFormat="1" applyFont="1" applyFill="1" applyBorder="1" applyAlignment="1">
      <alignment vertical="top"/>
    </xf>
    <xf numFmtId="4" fontId="30" fillId="21" borderId="44" xfId="0" applyNumberFormat="1" applyFont="1" applyFill="1" applyBorder="1" applyAlignment="1">
      <alignment vertical="top"/>
    </xf>
    <xf numFmtId="0" fontId="44" fillId="0" borderId="83" xfId="0" applyFont="1" applyFill="1" applyBorder="1" applyAlignment="1">
      <alignment horizontal="left" vertical="center"/>
    </xf>
    <xf numFmtId="0" fontId="44" fillId="0" borderId="84" xfId="0" applyFont="1" applyFill="1" applyBorder="1" applyAlignment="1">
      <alignment horizontal="left" vertical="center"/>
    </xf>
    <xf numFmtId="4" fontId="32" fillId="0" borderId="57" xfId="0" applyNumberFormat="1" applyFont="1" applyFill="1" applyBorder="1" applyAlignment="1">
      <alignment horizontal="right" vertical="center"/>
    </xf>
    <xf numFmtId="0" fontId="22" fillId="21" borderId="64" xfId="0" applyFont="1" applyFill="1" applyBorder="1" applyAlignment="1">
      <alignment horizontal="center" vertical="top"/>
    </xf>
    <xf numFmtId="0" fontId="22" fillId="21" borderId="0" xfId="0" applyFont="1" applyFill="1" applyBorder="1" applyAlignment="1">
      <alignment horizontal="center" vertical="top"/>
    </xf>
    <xf numFmtId="3" fontId="22" fillId="0" borderId="65" xfId="0" applyNumberFormat="1" applyFont="1" applyFill="1" applyBorder="1" applyAlignment="1">
      <alignment horizontal="right" vertical="top"/>
    </xf>
    <xf numFmtId="3" fontId="22" fillId="0" borderId="0" xfId="0" applyNumberFormat="1" applyFont="1" applyFill="1" applyBorder="1" applyAlignment="1">
      <alignment horizontal="right" vertical="top"/>
    </xf>
    <xf numFmtId="3" fontId="22" fillId="0" borderId="67" xfId="0" applyNumberFormat="1" applyFont="1" applyFill="1" applyBorder="1" applyAlignment="1">
      <alignment horizontal="right" vertical="top"/>
    </xf>
    <xf numFmtId="4" fontId="22" fillId="22" borderId="69" xfId="0" applyNumberFormat="1" applyFont="1" applyFill="1" applyBorder="1" applyAlignment="1">
      <alignment horizontal="right" vertical="top"/>
    </xf>
    <xf numFmtId="40" fontId="22" fillId="22" borderId="0" xfId="0" applyNumberFormat="1" applyFont="1" applyFill="1" applyBorder="1" applyAlignment="1">
      <alignment horizontal="right" vertical="top"/>
    </xf>
    <xf numFmtId="40" fontId="22" fillId="22" borderId="65" xfId="0" applyNumberFormat="1" applyFont="1" applyFill="1" applyBorder="1" applyAlignment="1">
      <alignment horizontal="right" vertical="top"/>
    </xf>
    <xf numFmtId="40" fontId="22" fillId="22" borderId="67" xfId="0" applyNumberFormat="1" applyFont="1" applyFill="1" applyBorder="1" applyAlignment="1">
      <alignment horizontal="right" vertical="top"/>
    </xf>
    <xf numFmtId="4" fontId="22" fillId="0" borderId="0" xfId="0" applyNumberFormat="1" applyFont="1" applyFill="1" applyBorder="1" applyAlignment="1">
      <alignment horizontal="right" vertical="top"/>
    </xf>
    <xf numFmtId="4" fontId="22" fillId="0" borderId="65" xfId="0" applyNumberFormat="1" applyFont="1" applyFill="1" applyBorder="1" applyAlignment="1">
      <alignment horizontal="right" vertical="top"/>
    </xf>
    <xf numFmtId="4" fontId="22" fillId="0" borderId="67" xfId="0" applyNumberFormat="1" applyFont="1" applyFill="1" applyBorder="1" applyAlignment="1">
      <alignment horizontal="right" vertical="top"/>
    </xf>
    <xf numFmtId="0" fontId="22" fillId="21" borderId="80" xfId="0" applyFont="1" applyFill="1" applyBorder="1" applyAlignment="1">
      <alignment horizontal="center" vertical="top"/>
    </xf>
    <xf numFmtId="0" fontId="22" fillId="21" borderId="74" xfId="0" applyFont="1" applyFill="1" applyBorder="1" applyAlignment="1">
      <alignment horizontal="center" vertical="top"/>
    </xf>
    <xf numFmtId="0" fontId="22" fillId="0" borderId="78" xfId="0" applyFont="1" applyFill="1" applyBorder="1" applyAlignment="1">
      <alignment vertical="center" wrapText="1"/>
    </xf>
    <xf numFmtId="3" fontId="22" fillId="0" borderId="74" xfId="0" applyNumberFormat="1" applyFont="1" applyFill="1" applyBorder="1" applyAlignment="1">
      <alignment horizontal="right" vertical="top"/>
    </xf>
    <xf numFmtId="3" fontId="22" fillId="0" borderId="76" xfId="0" applyNumberFormat="1" applyFont="1" applyFill="1" applyBorder="1" applyAlignment="1">
      <alignment horizontal="right" vertical="top"/>
    </xf>
    <xf numFmtId="3" fontId="22" fillId="0" borderId="77" xfId="0" applyNumberFormat="1" applyFont="1" applyFill="1" applyBorder="1" applyAlignment="1">
      <alignment horizontal="right" vertical="top"/>
    </xf>
    <xf numFmtId="4" fontId="22" fillId="22" borderId="73" xfId="0" applyNumberFormat="1" applyFont="1" applyFill="1" applyBorder="1" applyAlignment="1">
      <alignment horizontal="right" vertical="top"/>
    </xf>
    <xf numFmtId="40" fontId="22" fillId="22" borderId="74" xfId="0" applyNumberFormat="1" applyFont="1" applyFill="1" applyBorder="1" applyAlignment="1">
      <alignment horizontal="right" vertical="top"/>
    </xf>
    <xf numFmtId="40" fontId="22" fillId="22" borderId="76" xfId="0" applyNumberFormat="1" applyFont="1" applyFill="1" applyBorder="1" applyAlignment="1">
      <alignment horizontal="right" vertical="top"/>
    </xf>
    <xf numFmtId="40" fontId="22" fillId="22" borderId="77" xfId="0" applyNumberFormat="1" applyFont="1" applyFill="1" applyBorder="1" applyAlignment="1">
      <alignment horizontal="right" vertical="top"/>
    </xf>
    <xf numFmtId="4" fontId="22" fillId="0" borderId="74" xfId="0" applyNumberFormat="1" applyFont="1" applyFill="1" applyBorder="1" applyAlignment="1">
      <alignment horizontal="right" vertical="top"/>
    </xf>
    <xf numFmtId="4" fontId="22" fillId="0" borderId="77" xfId="0" applyNumberFormat="1" applyFont="1" applyFill="1" applyBorder="1" applyAlignment="1">
      <alignment horizontal="right" vertical="top"/>
    </xf>
    <xf numFmtId="4" fontId="30" fillId="0" borderId="19" xfId="0" applyNumberFormat="1" applyFont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4" fontId="22" fillId="22" borderId="85" xfId="0" applyNumberFormat="1" applyFont="1" applyFill="1" applyBorder="1" applyAlignment="1">
      <alignment horizontal="center" vertical="center" wrapText="1"/>
    </xf>
    <xf numFmtId="4" fontId="22" fillId="22" borderId="69" xfId="0" applyNumberFormat="1" applyFont="1" applyFill="1" applyBorder="1" applyAlignment="1">
      <alignment horizontal="center" vertical="center" wrapText="1"/>
    </xf>
    <xf numFmtId="4" fontId="22" fillId="22" borderId="66" xfId="0" applyNumberFormat="1" applyFont="1" applyFill="1" applyBorder="1" applyAlignment="1">
      <alignment horizontal="center" vertical="center" wrapText="1"/>
    </xf>
    <xf numFmtId="40" fontId="30" fillId="22" borderId="86" xfId="0" applyNumberFormat="1" applyFont="1" applyFill="1" applyBorder="1" applyAlignment="1">
      <alignment horizontal="left" vertical="center" wrapText="1"/>
    </xf>
    <xf numFmtId="40" fontId="30" fillId="22" borderId="55" xfId="0" applyNumberFormat="1" applyFont="1" applyFill="1" applyBorder="1" applyAlignment="1">
      <alignment horizontal="left" vertical="center" wrapText="1"/>
    </xf>
    <xf numFmtId="4" fontId="22" fillId="0" borderId="87" xfId="0" applyNumberFormat="1" applyFont="1" applyFill="1" applyBorder="1" applyAlignment="1">
      <alignment horizontal="center" vertical="center" wrapText="1"/>
    </xf>
    <xf numFmtId="4" fontId="22" fillId="0" borderId="65" xfId="0" applyNumberFormat="1" applyFont="1" applyFill="1" applyBorder="1" applyAlignment="1">
      <alignment horizontal="center" vertical="center" wrapText="1"/>
    </xf>
    <xf numFmtId="4" fontId="22" fillId="0" borderId="62" xfId="0" applyNumberFormat="1" applyFont="1" applyFill="1" applyBorder="1" applyAlignment="1">
      <alignment horizontal="center" vertical="center" wrapText="1"/>
    </xf>
    <xf numFmtId="4" fontId="30" fillId="0" borderId="86" xfId="0" applyNumberFormat="1" applyFont="1" applyFill="1" applyBorder="1" applyAlignment="1">
      <alignment horizontal="left" vertical="center" wrapText="1"/>
    </xf>
    <xf numFmtId="4" fontId="30" fillId="0" borderId="55" xfId="0" applyNumberFormat="1" applyFont="1" applyFill="1" applyBorder="1" applyAlignment="1">
      <alignment horizontal="left" vertical="center" wrapText="1"/>
    </xf>
    <xf numFmtId="40" fontId="0" fillId="22" borderId="42" xfId="0" applyNumberFormat="1" applyFont="1" applyFill="1" applyBorder="1" applyAlignment="1">
      <alignment horizontal="center" vertical="center" wrapText="1"/>
    </xf>
    <xf numFmtId="40" fontId="0" fillId="22" borderId="62" xfId="0" applyNumberFormat="1" applyFont="1" applyFill="1" applyBorder="1" applyAlignment="1">
      <alignment horizontal="center" vertical="center" wrapText="1"/>
    </xf>
    <xf numFmtId="40" fontId="0" fillId="22" borderId="43" xfId="0" applyNumberFormat="1" applyFont="1" applyFill="1" applyBorder="1" applyAlignment="1">
      <alignment horizontal="center" vertical="center" wrapText="1"/>
    </xf>
    <xf numFmtId="40" fontId="0" fillId="22" borderId="72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4" fontId="22" fillId="0" borderId="56" xfId="0" applyNumberFormat="1" applyFont="1" applyFill="1" applyBorder="1" applyAlignment="1">
      <alignment horizontal="center" vertical="center" wrapText="1"/>
    </xf>
    <xf numFmtId="4" fontId="22" fillId="0" borderId="48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zal_1_dochody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4"/>
  <sheetViews>
    <sheetView zoomScale="85" zoomScaleNormal="85" zoomScaleSheetLayoutView="80" zoomScalePageLayoutView="0" workbookViewId="0" topLeftCell="B31">
      <selection activeCell="E32" sqref="E32"/>
    </sheetView>
  </sheetViews>
  <sheetFormatPr defaultColWidth="9.140625" defaultRowHeight="12.75"/>
  <cols>
    <col min="1" max="1" width="2.140625" style="1" customWidth="1"/>
    <col min="2" max="2" width="5.00390625" style="2" customWidth="1"/>
    <col min="3" max="3" width="5.8515625" style="3" customWidth="1"/>
    <col min="4" max="4" width="21.28125" style="1" customWidth="1"/>
    <col min="5" max="5" width="98.57421875" style="1" customWidth="1"/>
    <col min="6" max="6" width="20.140625" style="1" customWidth="1"/>
    <col min="7" max="7" width="11.57421875" style="1" customWidth="1"/>
    <col min="8" max="8" width="11.28125" style="1" customWidth="1"/>
    <col min="9" max="9" width="15.57421875" style="1" customWidth="1"/>
    <col min="10" max="16384" width="9.140625" style="1" customWidth="1"/>
  </cols>
  <sheetData>
    <row r="1" spans="2:6" ht="18.75" customHeight="1">
      <c r="B1" s="4"/>
      <c r="C1" s="5"/>
      <c r="F1" s="6" t="s">
        <v>96</v>
      </c>
    </row>
    <row r="2" spans="2:6" ht="14.25">
      <c r="B2" s="4"/>
      <c r="C2" s="5"/>
      <c r="F2" s="7" t="s">
        <v>97</v>
      </c>
    </row>
    <row r="3" spans="2:6" ht="14.25">
      <c r="B3" s="4"/>
      <c r="C3" s="5"/>
      <c r="D3" s="8"/>
      <c r="E3" s="9" t="s">
        <v>9</v>
      </c>
      <c r="F3" s="6" t="s">
        <v>10</v>
      </c>
    </row>
    <row r="4" spans="2:6" ht="14.25">
      <c r="B4" s="4"/>
      <c r="C4" s="5"/>
      <c r="F4" s="6"/>
    </row>
    <row r="5" spans="2:6" ht="14.25">
      <c r="B5" s="4"/>
      <c r="C5" s="5"/>
      <c r="D5" s="1" t="s">
        <v>11</v>
      </c>
      <c r="E5" s="10">
        <v>2874522</v>
      </c>
      <c r="F5" s="6"/>
    </row>
    <row r="6" spans="2:6" ht="14.25">
      <c r="B6" s="4"/>
      <c r="C6" s="5"/>
      <c r="D6" s="1" t="s">
        <v>12</v>
      </c>
      <c r="E6" s="10">
        <f>4055450+1188000</f>
        <v>5243450</v>
      </c>
      <c r="F6" s="6" t="s">
        <v>13</v>
      </c>
    </row>
    <row r="7" spans="2:6" s="11" customFormat="1" ht="14.25">
      <c r="B7" s="4"/>
      <c r="C7" s="5"/>
      <c r="D7" s="12"/>
      <c r="E7" s="13">
        <f>E5+E6</f>
        <v>8117972</v>
      </c>
      <c r="F7" s="6"/>
    </row>
    <row r="8" spans="2:6" s="11" customFormat="1" ht="18.75" customHeight="1">
      <c r="B8" s="4"/>
      <c r="C8" s="5"/>
      <c r="D8" s="14"/>
      <c r="E8" s="15"/>
      <c r="F8" s="6"/>
    </row>
    <row r="9" spans="2:8" s="11" customFormat="1" ht="24" customHeight="1">
      <c r="B9" s="16"/>
      <c r="C9" s="17"/>
      <c r="D9" s="18"/>
      <c r="E9" s="19" t="s">
        <v>14</v>
      </c>
      <c r="F9" s="20"/>
      <c r="H9" s="11" t="s">
        <v>15</v>
      </c>
    </row>
    <row r="10" spans="2:6" s="11" customFormat="1" ht="21" customHeight="1">
      <c r="B10" s="21"/>
      <c r="C10" s="22"/>
      <c r="D10" s="23"/>
      <c r="E10" s="24"/>
      <c r="F10" s="25" t="s">
        <v>16</v>
      </c>
    </row>
    <row r="11" spans="2:6" s="11" customFormat="1" ht="12.75" customHeight="1">
      <c r="B11" s="26" t="s">
        <v>17</v>
      </c>
      <c r="C11" s="27"/>
      <c r="D11" s="28" t="s">
        <v>18</v>
      </c>
      <c r="E11" s="29"/>
      <c r="F11" s="795" t="s">
        <v>19</v>
      </c>
    </row>
    <row r="12" spans="2:6" s="11" customFormat="1" ht="14.25">
      <c r="B12" s="30"/>
      <c r="C12" s="31" t="s">
        <v>20</v>
      </c>
      <c r="D12" s="32" t="s">
        <v>390</v>
      </c>
      <c r="E12" s="33"/>
      <c r="F12" s="795"/>
    </row>
    <row r="13" spans="2:6" s="11" customFormat="1" ht="24">
      <c r="B13" s="30"/>
      <c r="C13" s="31" t="s">
        <v>391</v>
      </c>
      <c r="D13" s="34" t="s">
        <v>392</v>
      </c>
      <c r="E13" s="33" t="s">
        <v>393</v>
      </c>
      <c r="F13" s="795"/>
    </row>
    <row r="14" spans="2:6" s="11" customFormat="1" ht="14.25">
      <c r="B14" s="30"/>
      <c r="C14" s="31"/>
      <c r="D14" s="35"/>
      <c r="E14" s="33"/>
      <c r="F14" s="795"/>
    </row>
    <row r="15" spans="2:6" s="11" customFormat="1" ht="14.25">
      <c r="B15" s="36"/>
      <c r="C15" s="37"/>
      <c r="D15" s="38"/>
      <c r="E15" s="39"/>
      <c r="F15" s="795"/>
    </row>
    <row r="16" spans="2:6" s="40" customFormat="1" ht="14.25">
      <c r="B16" s="41"/>
      <c r="C16" s="42"/>
      <c r="D16" s="43">
        <v>1</v>
      </c>
      <c r="E16" s="44">
        <v>2</v>
      </c>
      <c r="F16" s="45">
        <v>3</v>
      </c>
    </row>
    <row r="17" spans="2:6" s="46" customFormat="1" ht="15.75">
      <c r="B17" s="47"/>
      <c r="C17" s="48"/>
      <c r="D17" s="49" t="s">
        <v>394</v>
      </c>
      <c r="E17" s="50"/>
      <c r="F17" s="51">
        <f>F18+F286</f>
        <v>763034625</v>
      </c>
    </row>
    <row r="18" spans="2:7" s="52" customFormat="1" ht="15.75">
      <c r="B18" s="53"/>
      <c r="C18" s="54"/>
      <c r="D18" s="55" t="s">
        <v>395</v>
      </c>
      <c r="E18" s="56"/>
      <c r="F18" s="57">
        <f>F20+F282</f>
        <v>570935016</v>
      </c>
      <c r="G18" s="46"/>
    </row>
    <row r="19" spans="2:7" s="40" customFormat="1" ht="15.75">
      <c r="B19" s="58"/>
      <c r="C19" s="59"/>
      <c r="D19" s="60" t="s">
        <v>396</v>
      </c>
      <c r="E19" s="61"/>
      <c r="F19" s="62"/>
      <c r="G19" s="46"/>
    </row>
    <row r="20" spans="2:7" s="52" customFormat="1" ht="15.75">
      <c r="B20" s="53"/>
      <c r="C20" s="47"/>
      <c r="D20" s="63" t="s">
        <v>397</v>
      </c>
      <c r="E20" s="64"/>
      <c r="F20" s="57">
        <f>F21+F24+F75+F87+F99+F104+F115+F122+F130+F149+F159+F167+F174+F214+F237+F247</f>
        <v>570935016</v>
      </c>
      <c r="G20" s="46"/>
    </row>
    <row r="21" spans="2:7" s="40" customFormat="1" ht="14.25" customHeight="1" hidden="1">
      <c r="B21" s="65"/>
      <c r="C21" s="66"/>
      <c r="D21" s="67" t="s">
        <v>398</v>
      </c>
      <c r="E21" s="61" t="s">
        <v>24</v>
      </c>
      <c r="F21" s="68">
        <f>F22</f>
        <v>0</v>
      </c>
      <c r="G21" s="46"/>
    </row>
    <row r="22" spans="2:7" s="40" customFormat="1" ht="14.25" customHeight="1" hidden="1">
      <c r="B22" s="58"/>
      <c r="C22" s="59"/>
      <c r="D22" s="67" t="s">
        <v>25</v>
      </c>
      <c r="E22" s="69" t="s">
        <v>26</v>
      </c>
      <c r="F22" s="68">
        <f>F23</f>
        <v>0</v>
      </c>
      <c r="G22" s="46"/>
    </row>
    <row r="23" spans="2:7" s="70" customFormat="1" ht="14.25" customHeight="1" hidden="1">
      <c r="B23" s="71" t="s">
        <v>27</v>
      </c>
      <c r="C23" s="72" t="s">
        <v>28</v>
      </c>
      <c r="D23" s="73" t="s">
        <v>29</v>
      </c>
      <c r="E23" s="74" t="s">
        <v>30</v>
      </c>
      <c r="F23" s="75"/>
      <c r="G23" s="46"/>
    </row>
    <row r="24" spans="2:7" s="76" customFormat="1" ht="15.75" customHeight="1">
      <c r="B24" s="77"/>
      <c r="C24" s="78"/>
      <c r="D24" s="79">
        <v>600</v>
      </c>
      <c r="E24" s="80" t="s">
        <v>31</v>
      </c>
      <c r="F24" s="81">
        <f>F25+F39+F66</f>
        <v>142937549</v>
      </c>
      <c r="G24" s="82"/>
    </row>
    <row r="25" spans="2:7" s="76" customFormat="1" ht="15.75">
      <c r="B25" s="83"/>
      <c r="C25" s="84"/>
      <c r="D25" s="79">
        <v>60004</v>
      </c>
      <c r="E25" s="85" t="s">
        <v>32</v>
      </c>
      <c r="F25" s="81">
        <f>F26</f>
        <v>65906136</v>
      </c>
      <c r="G25" s="82"/>
    </row>
    <row r="26" spans="2:7" s="76" customFormat="1" ht="15.75">
      <c r="B26" s="86"/>
      <c r="C26" s="87"/>
      <c r="D26" s="88"/>
      <c r="E26" s="89" t="s">
        <v>33</v>
      </c>
      <c r="F26" s="90">
        <f>SUM(F27:F38)</f>
        <v>65906136</v>
      </c>
      <c r="G26" s="82"/>
    </row>
    <row r="27" spans="2:7" s="70" customFormat="1" ht="13.5" customHeight="1" hidden="1">
      <c r="B27" s="71" t="s">
        <v>27</v>
      </c>
      <c r="C27" s="72" t="s">
        <v>28</v>
      </c>
      <c r="D27" s="91" t="s">
        <v>34</v>
      </c>
      <c r="E27" s="92" t="s">
        <v>35</v>
      </c>
      <c r="F27" s="93"/>
      <c r="G27" s="46"/>
    </row>
    <row r="28" spans="2:8" s="94" customFormat="1" ht="15.75">
      <c r="B28" s="95" t="s">
        <v>27</v>
      </c>
      <c r="C28" s="96" t="s">
        <v>28</v>
      </c>
      <c r="D28" s="97" t="s">
        <v>36</v>
      </c>
      <c r="E28" s="98" t="s">
        <v>100</v>
      </c>
      <c r="F28" s="99">
        <f>200000+57500</f>
        <v>257500</v>
      </c>
      <c r="G28" s="82"/>
      <c r="H28" s="94">
        <v>57500</v>
      </c>
    </row>
    <row r="29" spans="2:7" s="94" customFormat="1" ht="15.75">
      <c r="B29" s="95" t="s">
        <v>27</v>
      </c>
      <c r="C29" s="96" t="s">
        <v>28</v>
      </c>
      <c r="D29" s="97" t="s">
        <v>101</v>
      </c>
      <c r="E29" s="100" t="s">
        <v>102</v>
      </c>
      <c r="F29" s="99">
        <v>13000000</v>
      </c>
      <c r="G29" s="82" t="s">
        <v>103</v>
      </c>
    </row>
    <row r="30" spans="2:7" s="94" customFormat="1" ht="15.75">
      <c r="B30" s="95" t="s">
        <v>104</v>
      </c>
      <c r="C30" s="96" t="s">
        <v>28</v>
      </c>
      <c r="D30" s="97" t="s">
        <v>40</v>
      </c>
      <c r="E30" s="98" t="s">
        <v>41</v>
      </c>
      <c r="F30" s="99">
        <v>100000</v>
      </c>
      <c r="G30" s="82"/>
    </row>
    <row r="31" spans="2:7" s="94" customFormat="1" ht="15.75">
      <c r="B31" s="95" t="s">
        <v>27</v>
      </c>
      <c r="C31" s="96" t="s">
        <v>28</v>
      </c>
      <c r="D31" s="97" t="s">
        <v>42</v>
      </c>
      <c r="E31" s="98" t="s">
        <v>43</v>
      </c>
      <c r="F31" s="99">
        <v>600000</v>
      </c>
      <c r="G31" s="82"/>
    </row>
    <row r="32" spans="2:7" s="94" customFormat="1" ht="15.75">
      <c r="B32" s="95" t="s">
        <v>27</v>
      </c>
      <c r="C32" s="96" t="s">
        <v>28</v>
      </c>
      <c r="D32" s="97" t="s">
        <v>44</v>
      </c>
      <c r="E32" s="98" t="s">
        <v>45</v>
      </c>
      <c r="F32" s="99">
        <v>590921</v>
      </c>
      <c r="G32" s="82"/>
    </row>
    <row r="33" spans="2:7" s="94" customFormat="1" ht="15.75">
      <c r="B33" s="95" t="s">
        <v>27</v>
      </c>
      <c r="C33" s="96" t="s">
        <v>28</v>
      </c>
      <c r="D33" s="97" t="s">
        <v>46</v>
      </c>
      <c r="E33" s="100" t="s">
        <v>366</v>
      </c>
      <c r="F33" s="99">
        <v>9300000</v>
      </c>
      <c r="G33" s="82" t="s">
        <v>103</v>
      </c>
    </row>
    <row r="34" spans="2:7" s="94" customFormat="1" ht="22.5">
      <c r="B34" s="95" t="s">
        <v>27</v>
      </c>
      <c r="C34" s="96" t="s">
        <v>28</v>
      </c>
      <c r="D34" s="97" t="s">
        <v>367</v>
      </c>
      <c r="E34" s="100" t="s">
        <v>368</v>
      </c>
      <c r="F34" s="99">
        <v>18000000</v>
      </c>
      <c r="G34" s="82" t="s">
        <v>103</v>
      </c>
    </row>
    <row r="35" spans="2:7" s="94" customFormat="1" ht="15.75">
      <c r="B35" s="95" t="s">
        <v>27</v>
      </c>
      <c r="C35" s="96" t="s">
        <v>28</v>
      </c>
      <c r="D35" s="97" t="s">
        <v>369</v>
      </c>
      <c r="E35" s="100" t="s">
        <v>370</v>
      </c>
      <c r="F35" s="99">
        <v>500000</v>
      </c>
      <c r="G35" s="82" t="s">
        <v>103</v>
      </c>
    </row>
    <row r="36" spans="2:7" s="94" customFormat="1" ht="15.75">
      <c r="B36" s="95" t="s">
        <v>27</v>
      </c>
      <c r="C36" s="96" t="s">
        <v>28</v>
      </c>
      <c r="D36" s="97" t="s">
        <v>371</v>
      </c>
      <c r="E36" s="100" t="s">
        <v>47</v>
      </c>
      <c r="F36" s="99">
        <v>4000000</v>
      </c>
      <c r="G36" s="82" t="s">
        <v>103</v>
      </c>
    </row>
    <row r="37" spans="2:7" s="94" customFormat="1" ht="15.75">
      <c r="B37" s="95" t="s">
        <v>27</v>
      </c>
      <c r="C37" s="96" t="s">
        <v>28</v>
      </c>
      <c r="D37" s="97" t="s">
        <v>48</v>
      </c>
      <c r="E37" s="98" t="s">
        <v>49</v>
      </c>
      <c r="F37" s="99">
        <v>17157715</v>
      </c>
      <c r="G37" s="101"/>
    </row>
    <row r="38" spans="2:7" s="94" customFormat="1" ht="15.75">
      <c r="B38" s="95" t="s">
        <v>27</v>
      </c>
      <c r="C38" s="96" t="s">
        <v>28</v>
      </c>
      <c r="D38" s="97" t="s">
        <v>50</v>
      </c>
      <c r="E38" s="98" t="s">
        <v>51</v>
      </c>
      <c r="F38" s="99">
        <v>2400000</v>
      </c>
      <c r="G38" s="101"/>
    </row>
    <row r="39" spans="2:7" s="76" customFormat="1" ht="15.75">
      <c r="B39" s="83"/>
      <c r="C39" s="84"/>
      <c r="D39" s="79">
        <v>60016</v>
      </c>
      <c r="E39" s="85" t="s">
        <v>52</v>
      </c>
      <c r="F39" s="81">
        <f>F40+F56+F61</f>
        <v>22616643</v>
      </c>
      <c r="G39" s="82"/>
    </row>
    <row r="40" spans="2:7" s="76" customFormat="1" ht="15.75">
      <c r="B40" s="86"/>
      <c r="C40" s="87"/>
      <c r="D40" s="88"/>
      <c r="E40" s="89" t="s">
        <v>53</v>
      </c>
      <c r="F40" s="90">
        <f>SUM(F41:F55)</f>
        <v>21299091</v>
      </c>
      <c r="G40" s="82"/>
    </row>
    <row r="41" spans="2:8" s="94" customFormat="1" ht="15.75">
      <c r="B41" s="95" t="s">
        <v>27</v>
      </c>
      <c r="C41" s="96" t="s">
        <v>28</v>
      </c>
      <c r="D41" s="97" t="s">
        <v>54</v>
      </c>
      <c r="E41" s="98" t="s">
        <v>55</v>
      </c>
      <c r="F41" s="99">
        <f>100000+1086160+1188000</f>
        <v>2374160</v>
      </c>
      <c r="G41" s="82"/>
      <c r="H41" s="94">
        <f>1086160+1188000</f>
        <v>2274160</v>
      </c>
    </row>
    <row r="42" spans="2:7" s="94" customFormat="1" ht="15.75">
      <c r="B42" s="95" t="s">
        <v>27</v>
      </c>
      <c r="C42" s="96" t="s">
        <v>28</v>
      </c>
      <c r="D42" s="97" t="s">
        <v>56</v>
      </c>
      <c r="E42" s="98" t="s">
        <v>57</v>
      </c>
      <c r="F42" s="99">
        <v>700000</v>
      </c>
      <c r="G42" s="82"/>
    </row>
    <row r="43" spans="2:7" s="94" customFormat="1" ht="15.75">
      <c r="B43" s="95" t="s">
        <v>27</v>
      </c>
      <c r="C43" s="96" t="s">
        <v>28</v>
      </c>
      <c r="D43" s="97" t="s">
        <v>58</v>
      </c>
      <c r="E43" s="98" t="s">
        <v>110</v>
      </c>
      <c r="F43" s="99">
        <v>5000000</v>
      </c>
      <c r="G43" s="82"/>
    </row>
    <row r="44" spans="2:8" s="94" customFormat="1" ht="15.75">
      <c r="B44" s="95" t="s">
        <v>27</v>
      </c>
      <c r="C44" s="96" t="s">
        <v>28</v>
      </c>
      <c r="D44" s="97" t="s">
        <v>111</v>
      </c>
      <c r="E44" s="98" t="s">
        <v>112</v>
      </c>
      <c r="F44" s="99">
        <f>450000+1274931</f>
        <v>1724931</v>
      </c>
      <c r="G44" s="101"/>
      <c r="H44" s="94">
        <v>1274931</v>
      </c>
    </row>
    <row r="45" spans="2:7" s="70" customFormat="1" ht="15.75" hidden="1">
      <c r="B45" s="71" t="s">
        <v>27</v>
      </c>
      <c r="C45" s="72" t="s">
        <v>28</v>
      </c>
      <c r="D45" s="73" t="s">
        <v>113</v>
      </c>
      <c r="E45" s="102" t="s">
        <v>114</v>
      </c>
      <c r="F45" s="75"/>
      <c r="G45" s="46"/>
    </row>
    <row r="46" spans="2:7" s="70" customFormat="1" ht="15.75" hidden="1">
      <c r="B46" s="71" t="s">
        <v>27</v>
      </c>
      <c r="C46" s="72" t="s">
        <v>28</v>
      </c>
      <c r="D46" s="73" t="s">
        <v>115</v>
      </c>
      <c r="E46" s="102" t="s">
        <v>116</v>
      </c>
      <c r="F46" s="75"/>
      <c r="G46" s="46"/>
    </row>
    <row r="47" spans="2:7" s="70" customFormat="1" ht="15.75" hidden="1">
      <c r="B47" s="71" t="s">
        <v>27</v>
      </c>
      <c r="C47" s="72" t="s">
        <v>117</v>
      </c>
      <c r="D47" s="73" t="s">
        <v>118</v>
      </c>
      <c r="E47" s="102" t="s">
        <v>119</v>
      </c>
      <c r="F47" s="75"/>
      <c r="G47" s="46"/>
    </row>
    <row r="48" spans="2:7" s="103" customFormat="1" ht="15.75" hidden="1">
      <c r="B48" s="104" t="s">
        <v>27</v>
      </c>
      <c r="C48" s="105" t="s">
        <v>28</v>
      </c>
      <c r="D48" s="97" t="s">
        <v>120</v>
      </c>
      <c r="E48" s="106" t="s">
        <v>121</v>
      </c>
      <c r="F48" s="107"/>
      <c r="G48" s="108"/>
    </row>
    <row r="49" spans="2:7" s="94" customFormat="1" ht="15.75">
      <c r="B49" s="95" t="s">
        <v>27</v>
      </c>
      <c r="C49" s="96" t="s">
        <v>28</v>
      </c>
      <c r="D49" s="97" t="s">
        <v>122</v>
      </c>
      <c r="E49" s="98" t="s">
        <v>123</v>
      </c>
      <c r="F49" s="99">
        <v>1000000</v>
      </c>
      <c r="G49" s="82"/>
    </row>
    <row r="50" spans="2:7" s="94" customFormat="1" ht="15.75">
      <c r="B50" s="95" t="s">
        <v>27</v>
      </c>
      <c r="C50" s="96" t="s">
        <v>117</v>
      </c>
      <c r="D50" s="97" t="s">
        <v>124</v>
      </c>
      <c r="E50" s="98" t="s">
        <v>125</v>
      </c>
      <c r="F50" s="99">
        <f>3000000-2661324</f>
        <v>338676</v>
      </c>
      <c r="G50" s="82"/>
    </row>
    <row r="51" spans="2:7" s="94" customFormat="1" ht="15.75">
      <c r="B51" s="95" t="s">
        <v>27</v>
      </c>
      <c r="C51" s="96" t="s">
        <v>117</v>
      </c>
      <c r="D51" s="97" t="s">
        <v>126</v>
      </c>
      <c r="E51" s="100" t="s">
        <v>127</v>
      </c>
      <c r="F51" s="99">
        <v>4500000</v>
      </c>
      <c r="G51" s="82"/>
    </row>
    <row r="52" spans="2:7" s="94" customFormat="1" ht="15.75">
      <c r="B52" s="95" t="s">
        <v>27</v>
      </c>
      <c r="C52" s="96" t="s">
        <v>117</v>
      </c>
      <c r="D52" s="97" t="s">
        <v>128</v>
      </c>
      <c r="E52" s="100" t="s">
        <v>129</v>
      </c>
      <c r="F52" s="99">
        <f>1000000+516200</f>
        <v>1516200</v>
      </c>
      <c r="G52" s="82"/>
    </row>
    <row r="53" spans="2:7" s="94" customFormat="1" ht="15.75">
      <c r="B53" s="95" t="s">
        <v>27</v>
      </c>
      <c r="C53" s="96" t="s">
        <v>28</v>
      </c>
      <c r="D53" s="97" t="s">
        <v>130</v>
      </c>
      <c r="E53" s="100" t="s">
        <v>131</v>
      </c>
      <c r="F53" s="99">
        <v>1500000</v>
      </c>
      <c r="G53" s="82" t="s">
        <v>103</v>
      </c>
    </row>
    <row r="54" spans="2:7" s="94" customFormat="1" ht="15.75">
      <c r="B54" s="95" t="s">
        <v>27</v>
      </c>
      <c r="C54" s="96" t="s">
        <v>117</v>
      </c>
      <c r="D54" s="97" t="s">
        <v>132</v>
      </c>
      <c r="E54" s="100" t="s">
        <v>133</v>
      </c>
      <c r="F54" s="99">
        <v>2145124</v>
      </c>
      <c r="G54" s="82"/>
    </row>
    <row r="55" spans="2:7" s="109" customFormat="1" ht="14.25" customHeight="1">
      <c r="B55" s="95" t="s">
        <v>27</v>
      </c>
      <c r="C55" s="96" t="s">
        <v>117</v>
      </c>
      <c r="D55" s="97" t="s">
        <v>134</v>
      </c>
      <c r="E55" s="98" t="s">
        <v>135</v>
      </c>
      <c r="F55" s="99">
        <v>500000</v>
      </c>
      <c r="G55" s="110"/>
    </row>
    <row r="56" spans="2:7" s="94" customFormat="1" ht="15.75">
      <c r="B56" s="111"/>
      <c r="C56" s="87"/>
      <c r="D56" s="97"/>
      <c r="E56" s="89" t="s">
        <v>136</v>
      </c>
      <c r="F56" s="112">
        <f>SUM(F57:F60)</f>
        <v>317552</v>
      </c>
      <c r="G56" s="82"/>
    </row>
    <row r="57" spans="2:7" s="94" customFormat="1" ht="15.75">
      <c r="B57" s="95" t="s">
        <v>27</v>
      </c>
      <c r="C57" s="113" t="s">
        <v>28</v>
      </c>
      <c r="D57" s="97" t="s">
        <v>137</v>
      </c>
      <c r="E57" s="98" t="s">
        <v>138</v>
      </c>
      <c r="F57" s="112">
        <v>16700</v>
      </c>
      <c r="G57" s="82"/>
    </row>
    <row r="58" spans="2:7" s="94" customFormat="1" ht="15.75">
      <c r="B58" s="95" t="s">
        <v>27</v>
      </c>
      <c r="C58" s="113" t="s">
        <v>28</v>
      </c>
      <c r="D58" s="97" t="s">
        <v>139</v>
      </c>
      <c r="E58" s="98" t="s">
        <v>140</v>
      </c>
      <c r="F58" s="99">
        <v>120000</v>
      </c>
      <c r="G58" s="82"/>
    </row>
    <row r="59" spans="2:7" s="70" customFormat="1" ht="15.75">
      <c r="B59" s="95" t="s">
        <v>27</v>
      </c>
      <c r="C59" s="113" t="s">
        <v>117</v>
      </c>
      <c r="D59" s="97" t="s">
        <v>141</v>
      </c>
      <c r="E59" s="98" t="s">
        <v>142</v>
      </c>
      <c r="F59" s="99">
        <v>110852</v>
      </c>
      <c r="G59" s="46"/>
    </row>
    <row r="60" spans="2:7" s="70" customFormat="1" ht="15.75">
      <c r="B60" s="95" t="s">
        <v>27</v>
      </c>
      <c r="C60" s="113" t="s">
        <v>117</v>
      </c>
      <c r="D60" s="97" t="s">
        <v>143</v>
      </c>
      <c r="E60" s="98" t="s">
        <v>144</v>
      </c>
      <c r="F60" s="99">
        <v>70000</v>
      </c>
      <c r="G60" s="46"/>
    </row>
    <row r="61" spans="2:7" s="114" customFormat="1" ht="12.75">
      <c r="B61" s="115"/>
      <c r="C61" s="115"/>
      <c r="D61" s="116"/>
      <c r="E61" s="117" t="s">
        <v>145</v>
      </c>
      <c r="F61" s="118">
        <f>F62</f>
        <v>1000000</v>
      </c>
      <c r="G61" s="119"/>
    </row>
    <row r="62" spans="2:7" s="120" customFormat="1" ht="15.75">
      <c r="B62" s="121" t="s">
        <v>146</v>
      </c>
      <c r="C62" s="122"/>
      <c r="D62" s="123" t="s">
        <v>147</v>
      </c>
      <c r="E62" s="124" t="s">
        <v>148</v>
      </c>
      <c r="F62" s="125">
        <v>1000000</v>
      </c>
      <c r="G62" s="126"/>
    </row>
    <row r="63" spans="2:7" s="40" customFormat="1" ht="14.25" customHeight="1" hidden="1">
      <c r="B63" s="127"/>
      <c r="C63" s="128"/>
      <c r="D63" s="67">
        <v>60017</v>
      </c>
      <c r="E63" s="69" t="s">
        <v>149</v>
      </c>
      <c r="F63" s="68"/>
      <c r="G63" s="46"/>
    </row>
    <row r="64" spans="2:7" s="40" customFormat="1" ht="14.25" customHeight="1" hidden="1">
      <c r="B64" s="71"/>
      <c r="C64" s="72"/>
      <c r="D64" s="73"/>
      <c r="E64" s="129" t="s">
        <v>53</v>
      </c>
      <c r="F64" s="130"/>
      <c r="G64" s="46"/>
    </row>
    <row r="65" spans="2:7" s="70" customFormat="1" ht="15.75" hidden="1">
      <c r="B65" s="71"/>
      <c r="C65" s="72"/>
      <c r="D65" s="73" t="s">
        <v>150</v>
      </c>
      <c r="E65" s="74" t="s">
        <v>151</v>
      </c>
      <c r="F65" s="75"/>
      <c r="G65" s="131"/>
    </row>
    <row r="66" spans="2:7" s="76" customFormat="1" ht="15.75">
      <c r="B66" s="83"/>
      <c r="C66" s="84"/>
      <c r="D66" s="79">
        <v>60095</v>
      </c>
      <c r="E66" s="85" t="s">
        <v>153</v>
      </c>
      <c r="F66" s="81">
        <f>F67+F69+F71</f>
        <v>54414770</v>
      </c>
      <c r="G66" s="82"/>
    </row>
    <row r="67" spans="2:7" s="40" customFormat="1" ht="15.75">
      <c r="B67" s="30"/>
      <c r="C67" s="132"/>
      <c r="D67" s="133"/>
      <c r="E67" s="89" t="s">
        <v>33</v>
      </c>
      <c r="F67" s="134">
        <f>F68</f>
        <v>2500000</v>
      </c>
      <c r="G67" s="46"/>
    </row>
    <row r="68" spans="2:7" s="76" customFormat="1" ht="15.75">
      <c r="B68" s="95" t="s">
        <v>27</v>
      </c>
      <c r="C68" s="135" t="s">
        <v>28</v>
      </c>
      <c r="D68" s="97" t="s">
        <v>154</v>
      </c>
      <c r="E68" s="98" t="s">
        <v>155</v>
      </c>
      <c r="F68" s="136">
        <v>2500000</v>
      </c>
      <c r="G68" s="82"/>
    </row>
    <row r="69" spans="2:7" s="76" customFormat="1" ht="15.75">
      <c r="B69" s="111"/>
      <c r="C69" s="87"/>
      <c r="D69" s="97"/>
      <c r="E69" s="89" t="s">
        <v>53</v>
      </c>
      <c r="F69" s="112">
        <f>F70</f>
        <v>48914770</v>
      </c>
      <c r="G69" s="82"/>
    </row>
    <row r="70" spans="2:7" s="94" customFormat="1" ht="15.75">
      <c r="B70" s="95" t="s">
        <v>27</v>
      </c>
      <c r="C70" s="113" t="s">
        <v>28</v>
      </c>
      <c r="D70" s="97" t="s">
        <v>134</v>
      </c>
      <c r="E70" s="98" t="s">
        <v>49</v>
      </c>
      <c r="F70" s="99">
        <v>48914770</v>
      </c>
      <c r="G70" s="82"/>
    </row>
    <row r="71" spans="2:7" s="76" customFormat="1" ht="17.25" customHeight="1">
      <c r="B71" s="111"/>
      <c r="C71" s="87"/>
      <c r="D71" s="97"/>
      <c r="E71" s="137" t="s">
        <v>145</v>
      </c>
      <c r="F71" s="112">
        <f>F72+F73+F74</f>
        <v>3000000</v>
      </c>
      <c r="G71" s="82"/>
    </row>
    <row r="72" spans="2:7" s="138" customFormat="1" ht="17.25" customHeight="1">
      <c r="B72" s="139" t="s">
        <v>27</v>
      </c>
      <c r="C72" s="139" t="s">
        <v>117</v>
      </c>
      <c r="D72" s="97" t="s">
        <v>156</v>
      </c>
      <c r="E72" s="140" t="s">
        <v>157</v>
      </c>
      <c r="F72" s="99">
        <v>500000</v>
      </c>
      <c r="G72" s="141"/>
    </row>
    <row r="73" spans="2:7" s="138" customFormat="1" ht="24.75" customHeight="1">
      <c r="B73" s="87" t="s">
        <v>27</v>
      </c>
      <c r="C73" s="87" t="s">
        <v>117</v>
      </c>
      <c r="D73" s="97" t="s">
        <v>158</v>
      </c>
      <c r="E73" s="140" t="s">
        <v>159</v>
      </c>
      <c r="F73" s="99">
        <f>500000+500000-500000</f>
        <v>500000</v>
      </c>
      <c r="G73" s="141"/>
    </row>
    <row r="74" spans="2:7" s="138" customFormat="1" ht="24.75" customHeight="1">
      <c r="B74" s="142" t="s">
        <v>27</v>
      </c>
      <c r="C74" s="142" t="s">
        <v>117</v>
      </c>
      <c r="D74" s="123" t="s">
        <v>160</v>
      </c>
      <c r="E74" s="143" t="s">
        <v>161</v>
      </c>
      <c r="F74" s="125">
        <v>2000000</v>
      </c>
      <c r="G74" s="141"/>
    </row>
    <row r="75" spans="2:7" s="76" customFormat="1" ht="15.75" customHeight="1">
      <c r="B75" s="77"/>
      <c r="C75" s="78"/>
      <c r="D75" s="79">
        <v>700</v>
      </c>
      <c r="E75" s="80" t="s">
        <v>162</v>
      </c>
      <c r="F75" s="81">
        <f>F76+F82</f>
        <v>15216616</v>
      </c>
      <c r="G75" s="82"/>
    </row>
    <row r="76" spans="2:7" s="76" customFormat="1" ht="14.25" customHeight="1" hidden="1">
      <c r="B76" s="83"/>
      <c r="C76" s="84"/>
      <c r="D76" s="79">
        <v>70001</v>
      </c>
      <c r="E76" s="85" t="s">
        <v>163</v>
      </c>
      <c r="F76" s="81">
        <f>F77+F78+F79+F80+F81</f>
        <v>0</v>
      </c>
      <c r="G76" s="82"/>
    </row>
    <row r="77" spans="2:7" s="94" customFormat="1" ht="14.25" customHeight="1" hidden="1">
      <c r="B77" s="95" t="s">
        <v>164</v>
      </c>
      <c r="C77" s="144"/>
      <c r="D77" s="97" t="s">
        <v>165</v>
      </c>
      <c r="E77" s="98" t="s">
        <v>166</v>
      </c>
      <c r="F77" s="99"/>
      <c r="G77" s="82"/>
    </row>
    <row r="78" spans="2:7" s="94" customFormat="1" ht="14.25" customHeight="1" hidden="1">
      <c r="B78" s="95" t="s">
        <v>164</v>
      </c>
      <c r="C78" s="144"/>
      <c r="D78" s="97" t="s">
        <v>167</v>
      </c>
      <c r="E78" s="98" t="s">
        <v>168</v>
      </c>
      <c r="F78" s="99"/>
      <c r="G78" s="82"/>
    </row>
    <row r="79" spans="2:7" s="94" customFormat="1" ht="14.25" customHeight="1" hidden="1">
      <c r="B79" s="95" t="s">
        <v>164</v>
      </c>
      <c r="C79" s="144"/>
      <c r="D79" s="97" t="s">
        <v>193</v>
      </c>
      <c r="E79" s="98" t="s">
        <v>194</v>
      </c>
      <c r="F79" s="99"/>
      <c r="G79" s="82"/>
    </row>
    <row r="80" spans="2:7" s="94" customFormat="1" ht="14.25" customHeight="1" hidden="1">
      <c r="B80" s="95" t="s">
        <v>164</v>
      </c>
      <c r="C80" s="144"/>
      <c r="D80" s="97" t="s">
        <v>195</v>
      </c>
      <c r="E80" s="98" t="s">
        <v>196</v>
      </c>
      <c r="F80" s="99"/>
      <c r="G80" s="82"/>
    </row>
    <row r="81" spans="2:7" s="94" customFormat="1" ht="14.25" customHeight="1" hidden="1">
      <c r="B81" s="95" t="s">
        <v>164</v>
      </c>
      <c r="C81" s="144"/>
      <c r="D81" s="97" t="s">
        <v>197</v>
      </c>
      <c r="E81" s="98" t="s">
        <v>198</v>
      </c>
      <c r="F81" s="99"/>
      <c r="G81" s="82"/>
    </row>
    <row r="82" spans="2:7" s="76" customFormat="1" ht="15.75">
      <c r="B82" s="83"/>
      <c r="C82" s="84"/>
      <c r="D82" s="79">
        <v>70005</v>
      </c>
      <c r="E82" s="145" t="s">
        <v>199</v>
      </c>
      <c r="F82" s="81">
        <f>SUM(F83:F86)</f>
        <v>15216616</v>
      </c>
      <c r="G82" s="82"/>
    </row>
    <row r="83" spans="2:7" s="146" customFormat="1" ht="15.75">
      <c r="B83" s="95" t="s">
        <v>104</v>
      </c>
      <c r="C83" s="144" t="s">
        <v>28</v>
      </c>
      <c r="D83" s="97" t="s">
        <v>200</v>
      </c>
      <c r="E83" s="98" t="s">
        <v>201</v>
      </c>
      <c r="F83" s="99">
        <v>7000000</v>
      </c>
      <c r="G83" s="82"/>
    </row>
    <row r="84" spans="2:7" s="146" customFormat="1" ht="22.5" customHeight="1">
      <c r="B84" s="95" t="s">
        <v>27</v>
      </c>
      <c r="C84" s="96" t="s">
        <v>202</v>
      </c>
      <c r="D84" s="97" t="s">
        <v>203</v>
      </c>
      <c r="E84" s="100" t="s">
        <v>204</v>
      </c>
      <c r="F84" s="99">
        <v>4000000</v>
      </c>
      <c r="G84" s="82"/>
    </row>
    <row r="85" spans="2:7" s="146" customFormat="1" ht="22.5" customHeight="1">
      <c r="B85" s="95" t="s">
        <v>27</v>
      </c>
      <c r="C85" s="96" t="s">
        <v>205</v>
      </c>
      <c r="D85" s="97" t="s">
        <v>206</v>
      </c>
      <c r="E85" s="100" t="s">
        <v>522</v>
      </c>
      <c r="F85" s="99">
        <v>3966616</v>
      </c>
      <c r="G85" s="82"/>
    </row>
    <row r="86" spans="2:7" s="138" customFormat="1" ht="18.75" customHeight="1">
      <c r="B86" s="87" t="s">
        <v>27</v>
      </c>
      <c r="C86" s="139" t="s">
        <v>523</v>
      </c>
      <c r="D86" s="147" t="s">
        <v>524</v>
      </c>
      <c r="E86" s="148" t="s">
        <v>525</v>
      </c>
      <c r="F86" s="149">
        <v>250000</v>
      </c>
      <c r="G86" s="141"/>
    </row>
    <row r="87" spans="2:7" s="76" customFormat="1" ht="15.75" customHeight="1">
      <c r="B87" s="150"/>
      <c r="C87" s="151"/>
      <c r="D87" s="152">
        <v>710</v>
      </c>
      <c r="E87" s="153" t="s">
        <v>526</v>
      </c>
      <c r="F87" s="154">
        <f>F88+F90+F95</f>
        <v>5300000</v>
      </c>
      <c r="G87" s="82"/>
    </row>
    <row r="88" spans="2:7" s="76" customFormat="1" ht="15.75">
      <c r="B88" s="83"/>
      <c r="C88" s="84"/>
      <c r="D88" s="152">
        <v>71003</v>
      </c>
      <c r="E88" s="155" t="s">
        <v>226</v>
      </c>
      <c r="F88" s="154">
        <f>F89</f>
        <v>500000</v>
      </c>
      <c r="G88" s="82"/>
    </row>
    <row r="89" spans="2:7" s="94" customFormat="1" ht="18.75" customHeight="1">
      <c r="B89" s="95" t="s">
        <v>104</v>
      </c>
      <c r="C89" s="156" t="s">
        <v>28</v>
      </c>
      <c r="D89" s="97" t="s">
        <v>227</v>
      </c>
      <c r="E89" s="98" t="s">
        <v>228</v>
      </c>
      <c r="F89" s="99">
        <v>500000</v>
      </c>
      <c r="G89" s="82"/>
    </row>
    <row r="90" spans="2:7" s="76" customFormat="1" ht="15.75">
      <c r="B90" s="83"/>
      <c r="C90" s="84"/>
      <c r="D90" s="79">
        <v>71012</v>
      </c>
      <c r="E90" s="85" t="s">
        <v>286</v>
      </c>
      <c r="F90" s="81">
        <f>F91</f>
        <v>2620000</v>
      </c>
      <c r="G90" s="82"/>
    </row>
    <row r="91" spans="2:7" s="76" customFormat="1" ht="24" customHeight="1">
      <c r="B91" s="86"/>
      <c r="C91" s="157"/>
      <c r="D91" s="158"/>
      <c r="E91" s="159" t="s">
        <v>287</v>
      </c>
      <c r="F91" s="90">
        <f>F93+F92+F94</f>
        <v>2620000</v>
      </c>
      <c r="G91" s="82"/>
    </row>
    <row r="92" spans="2:7" s="94" customFormat="1" ht="14.25">
      <c r="B92" s="95" t="s">
        <v>27</v>
      </c>
      <c r="C92" s="144" t="s">
        <v>28</v>
      </c>
      <c r="D92" s="97" t="s">
        <v>288</v>
      </c>
      <c r="E92" s="140" t="s">
        <v>289</v>
      </c>
      <c r="F92" s="99">
        <v>1400000</v>
      </c>
      <c r="G92" s="160" t="s">
        <v>290</v>
      </c>
    </row>
    <row r="93" spans="2:7" s="94" customFormat="1" ht="15.75">
      <c r="B93" s="95" t="s">
        <v>104</v>
      </c>
      <c r="C93" s="144" t="s">
        <v>28</v>
      </c>
      <c r="D93" s="97" t="s">
        <v>291</v>
      </c>
      <c r="E93" s="98" t="s">
        <v>292</v>
      </c>
      <c r="F93" s="99">
        <v>1100000</v>
      </c>
      <c r="G93" s="82"/>
    </row>
    <row r="94" spans="2:7" s="94" customFormat="1" ht="27" customHeight="1">
      <c r="B94" s="95" t="s">
        <v>27</v>
      </c>
      <c r="C94" s="96" t="s">
        <v>202</v>
      </c>
      <c r="D94" s="147" t="s">
        <v>293</v>
      </c>
      <c r="E94" s="148" t="s">
        <v>537</v>
      </c>
      <c r="F94" s="149">
        <v>120000</v>
      </c>
      <c r="G94" s="82"/>
    </row>
    <row r="95" spans="2:7" s="94" customFormat="1" ht="15.75">
      <c r="B95" s="95"/>
      <c r="C95" s="96"/>
      <c r="D95" s="79">
        <v>71095</v>
      </c>
      <c r="E95" s="85" t="s">
        <v>153</v>
      </c>
      <c r="F95" s="161">
        <f>F96+F98+F97</f>
        <v>2180000</v>
      </c>
      <c r="G95" s="82"/>
    </row>
    <row r="96" spans="2:7" s="94" customFormat="1" ht="15.75">
      <c r="B96" s="95" t="s">
        <v>27</v>
      </c>
      <c r="C96" s="96" t="s">
        <v>117</v>
      </c>
      <c r="D96" s="97" t="s">
        <v>538</v>
      </c>
      <c r="E96" s="98" t="s">
        <v>539</v>
      </c>
      <c r="F96" s="99">
        <v>150000</v>
      </c>
      <c r="G96" s="82"/>
    </row>
    <row r="97" spans="2:7" s="94" customFormat="1" ht="15.75">
      <c r="B97" s="95" t="s">
        <v>27</v>
      </c>
      <c r="C97" s="96" t="s">
        <v>117</v>
      </c>
      <c r="D97" s="97" t="s">
        <v>540</v>
      </c>
      <c r="E97" s="98" t="s">
        <v>541</v>
      </c>
      <c r="F97" s="99">
        <v>330000</v>
      </c>
      <c r="G97" s="82"/>
    </row>
    <row r="98" spans="2:7" s="94" customFormat="1" ht="15.75">
      <c r="B98" s="95" t="s">
        <v>27</v>
      </c>
      <c r="C98" s="96" t="s">
        <v>117</v>
      </c>
      <c r="D98" s="97" t="s">
        <v>542</v>
      </c>
      <c r="E98" s="98" t="s">
        <v>543</v>
      </c>
      <c r="F98" s="99">
        <f>1200000+500000</f>
        <v>1700000</v>
      </c>
      <c r="G98" s="82"/>
    </row>
    <row r="99" spans="2:7" s="40" customFormat="1" ht="15.75" customHeight="1" hidden="1">
      <c r="B99" s="162"/>
      <c r="C99" s="163"/>
      <c r="D99" s="67">
        <v>720</v>
      </c>
      <c r="E99" s="61" t="s">
        <v>544</v>
      </c>
      <c r="F99" s="68">
        <f>F100</f>
        <v>0</v>
      </c>
      <c r="G99" s="46"/>
    </row>
    <row r="100" spans="2:7" s="40" customFormat="1" ht="15.75" hidden="1">
      <c r="B100" s="58"/>
      <c r="C100" s="59"/>
      <c r="D100" s="67">
        <v>72095</v>
      </c>
      <c r="E100" s="69" t="s">
        <v>153</v>
      </c>
      <c r="F100" s="68">
        <f>SUM(F101:F103)</f>
        <v>0</v>
      </c>
      <c r="G100" s="46"/>
    </row>
    <row r="101" spans="2:7" s="70" customFormat="1" ht="15.75" hidden="1">
      <c r="B101" s="71" t="s">
        <v>27</v>
      </c>
      <c r="C101" s="72" t="s">
        <v>28</v>
      </c>
      <c r="D101" s="73" t="s">
        <v>545</v>
      </c>
      <c r="E101" s="74" t="s">
        <v>546</v>
      </c>
      <c r="F101" s="75"/>
      <c r="G101" s="46"/>
    </row>
    <row r="102" spans="2:7" s="70" customFormat="1" ht="15.75" hidden="1">
      <c r="B102" s="127" t="s">
        <v>27</v>
      </c>
      <c r="C102" s="128" t="s">
        <v>28</v>
      </c>
      <c r="D102" s="164" t="s">
        <v>547</v>
      </c>
      <c r="E102" s="165" t="s">
        <v>548</v>
      </c>
      <c r="F102" s="166"/>
      <c r="G102" s="46"/>
    </row>
    <row r="103" spans="2:7" s="70" customFormat="1" ht="14.25" customHeight="1" hidden="1">
      <c r="B103" s="127" t="s">
        <v>27</v>
      </c>
      <c r="C103" s="128" t="s">
        <v>28</v>
      </c>
      <c r="D103" s="164" t="s">
        <v>549</v>
      </c>
      <c r="E103" s="167" t="s">
        <v>550</v>
      </c>
      <c r="F103" s="166"/>
      <c r="G103" s="46"/>
    </row>
    <row r="104" spans="2:7" s="76" customFormat="1" ht="15.75" customHeight="1">
      <c r="B104" s="150"/>
      <c r="C104" s="151"/>
      <c r="D104" s="79">
        <v>750</v>
      </c>
      <c r="E104" s="80" t="s">
        <v>551</v>
      </c>
      <c r="F104" s="81">
        <f>F105+F113</f>
        <v>6500000</v>
      </c>
      <c r="G104" s="82"/>
    </row>
    <row r="105" spans="2:7" s="76" customFormat="1" ht="15.75">
      <c r="B105" s="83"/>
      <c r="C105" s="84"/>
      <c r="D105" s="79">
        <v>75023</v>
      </c>
      <c r="E105" s="85" t="s">
        <v>552</v>
      </c>
      <c r="F105" s="81">
        <f>SUM(F106:F112)</f>
        <v>5950000</v>
      </c>
      <c r="G105" s="82"/>
    </row>
    <row r="106" spans="2:7" s="94" customFormat="1" ht="15.75">
      <c r="B106" s="95" t="s">
        <v>27</v>
      </c>
      <c r="C106" s="96" t="s">
        <v>28</v>
      </c>
      <c r="D106" s="97" t="s">
        <v>553</v>
      </c>
      <c r="E106" s="168" t="s">
        <v>302</v>
      </c>
      <c r="F106" s="169">
        <v>400000</v>
      </c>
      <c r="G106" s="82"/>
    </row>
    <row r="107" spans="2:7" s="94" customFormat="1" ht="15.75">
      <c r="B107" s="95" t="s">
        <v>104</v>
      </c>
      <c r="C107" s="144" t="s">
        <v>28</v>
      </c>
      <c r="D107" s="97" t="s">
        <v>303</v>
      </c>
      <c r="E107" s="98" t="s">
        <v>304</v>
      </c>
      <c r="F107" s="99">
        <v>2000000</v>
      </c>
      <c r="G107" s="82"/>
    </row>
    <row r="108" spans="2:7" s="70" customFormat="1" ht="14.25">
      <c r="B108" s="95" t="s">
        <v>27</v>
      </c>
      <c r="C108" s="144" t="s">
        <v>305</v>
      </c>
      <c r="D108" s="97" t="s">
        <v>306</v>
      </c>
      <c r="E108" s="98" t="s">
        <v>307</v>
      </c>
      <c r="F108" s="99">
        <v>1200000</v>
      </c>
      <c r="G108" s="160" t="s">
        <v>290</v>
      </c>
    </row>
    <row r="109" spans="2:7" s="70" customFormat="1" ht="22.5">
      <c r="B109" s="95" t="s">
        <v>27</v>
      </c>
      <c r="C109" s="144" t="s">
        <v>308</v>
      </c>
      <c r="D109" s="97" t="s">
        <v>309</v>
      </c>
      <c r="E109" s="98" t="s">
        <v>310</v>
      </c>
      <c r="F109" s="99">
        <v>330000</v>
      </c>
      <c r="G109" s="170"/>
    </row>
    <row r="110" spans="2:7" s="94" customFormat="1" ht="15.75">
      <c r="B110" s="95" t="s">
        <v>27</v>
      </c>
      <c r="C110" s="96" t="s">
        <v>28</v>
      </c>
      <c r="D110" s="97" t="s">
        <v>311</v>
      </c>
      <c r="E110" s="98" t="s">
        <v>312</v>
      </c>
      <c r="F110" s="99">
        <v>1570000</v>
      </c>
      <c r="G110" s="82"/>
    </row>
    <row r="111" spans="2:7" s="94" customFormat="1" ht="15.75">
      <c r="B111" s="95" t="s">
        <v>27</v>
      </c>
      <c r="C111" s="96" t="s">
        <v>28</v>
      </c>
      <c r="D111" s="97" t="s">
        <v>313</v>
      </c>
      <c r="E111" s="98" t="s">
        <v>314</v>
      </c>
      <c r="F111" s="99">
        <v>100000</v>
      </c>
      <c r="G111" s="82"/>
    </row>
    <row r="112" spans="2:7" s="94" customFormat="1" ht="15.75">
      <c r="B112" s="95" t="s">
        <v>104</v>
      </c>
      <c r="C112" s="171" t="s">
        <v>28</v>
      </c>
      <c r="D112" s="147" t="s">
        <v>315</v>
      </c>
      <c r="E112" s="148" t="s">
        <v>316</v>
      </c>
      <c r="F112" s="149">
        <f>300000+50000-50000+50000</f>
        <v>350000</v>
      </c>
      <c r="G112" s="82"/>
    </row>
    <row r="113" spans="1:7" s="76" customFormat="1" ht="15.75">
      <c r="A113" s="172"/>
      <c r="B113" s="83"/>
      <c r="C113" s="173"/>
      <c r="D113" s="152">
        <v>75095</v>
      </c>
      <c r="E113" s="174" t="s">
        <v>153</v>
      </c>
      <c r="F113" s="154">
        <f>F114</f>
        <v>550000</v>
      </c>
      <c r="G113" s="82"/>
    </row>
    <row r="114" spans="2:7" s="94" customFormat="1" ht="15.75">
      <c r="B114" s="95" t="s">
        <v>27</v>
      </c>
      <c r="C114" s="144" t="s">
        <v>308</v>
      </c>
      <c r="D114" s="175" t="s">
        <v>317</v>
      </c>
      <c r="E114" s="176" t="s">
        <v>318</v>
      </c>
      <c r="F114" s="99">
        <v>550000</v>
      </c>
      <c r="G114" s="82"/>
    </row>
    <row r="115" spans="2:7" s="76" customFormat="1" ht="15.75" customHeight="1">
      <c r="B115" s="77"/>
      <c r="C115" s="78"/>
      <c r="D115" s="79">
        <v>754</v>
      </c>
      <c r="E115" s="80" t="s">
        <v>319</v>
      </c>
      <c r="F115" s="81">
        <f>F116+F118+F120</f>
        <v>120000</v>
      </c>
      <c r="G115" s="82"/>
    </row>
    <row r="116" spans="2:7" s="40" customFormat="1" ht="15.75" hidden="1">
      <c r="B116" s="177"/>
      <c r="C116" s="178"/>
      <c r="D116" s="67">
        <v>75412</v>
      </c>
      <c r="E116" s="179" t="s">
        <v>320</v>
      </c>
      <c r="F116" s="68">
        <f>F117</f>
        <v>0</v>
      </c>
      <c r="G116" s="46"/>
    </row>
    <row r="117" spans="2:7" s="180" customFormat="1" ht="15.75" hidden="1">
      <c r="B117" s="181" t="s">
        <v>321</v>
      </c>
      <c r="C117" s="181"/>
      <c r="D117" s="182" t="s">
        <v>322</v>
      </c>
      <c r="E117" s="183" t="s">
        <v>536</v>
      </c>
      <c r="F117" s="184"/>
      <c r="G117" s="46"/>
    </row>
    <row r="118" spans="2:7" s="76" customFormat="1" ht="15.75">
      <c r="B118" s="83"/>
      <c r="C118" s="84"/>
      <c r="D118" s="79">
        <v>75416</v>
      </c>
      <c r="E118" s="85" t="s">
        <v>527</v>
      </c>
      <c r="F118" s="81">
        <f>F119</f>
        <v>110000</v>
      </c>
      <c r="G118" s="82"/>
    </row>
    <row r="119" spans="1:7" s="94" customFormat="1" ht="15.75">
      <c r="A119" s="185"/>
      <c r="B119" s="95" t="s">
        <v>104</v>
      </c>
      <c r="C119" s="144" t="s">
        <v>28</v>
      </c>
      <c r="D119" s="97" t="s">
        <v>528</v>
      </c>
      <c r="E119" s="98" t="s">
        <v>529</v>
      </c>
      <c r="F119" s="99">
        <v>110000</v>
      </c>
      <c r="G119" s="82"/>
    </row>
    <row r="120" spans="1:7" s="76" customFormat="1" ht="15.75">
      <c r="A120" s="172"/>
      <c r="B120" s="83"/>
      <c r="C120" s="84"/>
      <c r="D120" s="79">
        <v>75495</v>
      </c>
      <c r="E120" s="186" t="s">
        <v>153</v>
      </c>
      <c r="F120" s="81">
        <f>F121</f>
        <v>10000</v>
      </c>
      <c r="G120" s="82"/>
    </row>
    <row r="121" spans="2:8" s="94" customFormat="1" ht="15.75">
      <c r="B121" s="95" t="s">
        <v>104</v>
      </c>
      <c r="C121" s="144" t="s">
        <v>28</v>
      </c>
      <c r="D121" s="175" t="s">
        <v>530</v>
      </c>
      <c r="E121" s="187" t="s">
        <v>531</v>
      </c>
      <c r="F121" s="99">
        <v>10000</v>
      </c>
      <c r="G121" s="82"/>
      <c r="H121" s="94">
        <v>10000</v>
      </c>
    </row>
    <row r="122" spans="2:7" s="76" customFormat="1" ht="15.75" customHeight="1">
      <c r="B122" s="77"/>
      <c r="C122" s="78"/>
      <c r="D122" s="79">
        <v>758</v>
      </c>
      <c r="E122" s="80" t="s">
        <v>294</v>
      </c>
      <c r="F122" s="81">
        <f>F123</f>
        <v>14583866</v>
      </c>
      <c r="G122" s="82"/>
    </row>
    <row r="123" spans="2:7" s="76" customFormat="1" ht="15.75">
      <c r="B123" s="83"/>
      <c r="C123" s="84"/>
      <c r="D123" s="79">
        <v>75818</v>
      </c>
      <c r="E123" s="85" t="s">
        <v>295</v>
      </c>
      <c r="F123" s="81">
        <f>SUM(F124:F129)</f>
        <v>14583866</v>
      </c>
      <c r="G123" s="82"/>
    </row>
    <row r="124" spans="2:7" s="70" customFormat="1" ht="15.75">
      <c r="B124" s="71" t="s">
        <v>146</v>
      </c>
      <c r="C124" s="188"/>
      <c r="D124" s="97" t="s">
        <v>296</v>
      </c>
      <c r="E124" s="100" t="s">
        <v>297</v>
      </c>
      <c r="F124" s="189">
        <v>5000000</v>
      </c>
      <c r="G124" s="46"/>
    </row>
    <row r="125" spans="2:7" s="190" customFormat="1" ht="15.75">
      <c r="B125" s="95" t="s">
        <v>146</v>
      </c>
      <c r="C125" s="144" t="s">
        <v>28</v>
      </c>
      <c r="D125" s="97" t="s">
        <v>298</v>
      </c>
      <c r="E125" s="98" t="s">
        <v>299</v>
      </c>
      <c r="F125" s="136">
        <v>3000000</v>
      </c>
      <c r="G125" s="82"/>
    </row>
    <row r="126" spans="2:7" s="120" customFormat="1" ht="15.75">
      <c r="B126" s="121" t="s">
        <v>146</v>
      </c>
      <c r="C126" s="122"/>
      <c r="D126" s="123" t="s">
        <v>300</v>
      </c>
      <c r="E126" s="124" t="s">
        <v>301</v>
      </c>
      <c r="F126" s="191">
        <v>1358740</v>
      </c>
      <c r="G126" s="126"/>
    </row>
    <row r="127" spans="2:7" s="190" customFormat="1" ht="15.75">
      <c r="B127" s="95" t="s">
        <v>146</v>
      </c>
      <c r="C127" s="144" t="s">
        <v>205</v>
      </c>
      <c r="D127" s="97" t="s">
        <v>532</v>
      </c>
      <c r="E127" s="98" t="s">
        <v>533</v>
      </c>
      <c r="F127" s="136">
        <f>2750000+1750000</f>
        <v>4500000</v>
      </c>
      <c r="G127" s="82"/>
    </row>
    <row r="128" spans="2:7" s="190" customFormat="1" ht="15.75" hidden="1">
      <c r="B128" s="95"/>
      <c r="C128" s="144"/>
      <c r="D128" s="123" t="s">
        <v>534</v>
      </c>
      <c r="E128" s="124" t="s">
        <v>535</v>
      </c>
      <c r="F128" s="191"/>
      <c r="G128" s="82"/>
    </row>
    <row r="129" spans="2:7" s="120" customFormat="1" ht="15.75">
      <c r="B129" s="121" t="s">
        <v>146</v>
      </c>
      <c r="C129" s="192"/>
      <c r="D129" s="193" t="s">
        <v>534</v>
      </c>
      <c r="E129" s="194" t="s">
        <v>258</v>
      </c>
      <c r="F129" s="195">
        <v>725126</v>
      </c>
      <c r="G129" s="126"/>
    </row>
    <row r="130" spans="2:8" s="76" customFormat="1" ht="15.75" customHeight="1">
      <c r="B130" s="77"/>
      <c r="C130" s="151"/>
      <c r="D130" s="152">
        <v>801</v>
      </c>
      <c r="E130" s="153" t="s">
        <v>259</v>
      </c>
      <c r="F130" s="154">
        <f>F131+F140+F143+F146</f>
        <v>10687507</v>
      </c>
      <c r="G130" s="82"/>
      <c r="H130" s="76">
        <v>1780835</v>
      </c>
    </row>
    <row r="131" spans="2:7" s="76" customFormat="1" ht="15.75">
      <c r="B131" s="196"/>
      <c r="C131" s="173"/>
      <c r="D131" s="152">
        <v>80101</v>
      </c>
      <c r="E131" s="155" t="s">
        <v>260</v>
      </c>
      <c r="F131" s="154">
        <f>SUM(F132:F139)</f>
        <v>3595271</v>
      </c>
      <c r="G131" s="82"/>
    </row>
    <row r="132" spans="2:7" s="197" customFormat="1" ht="15.75">
      <c r="B132" s="198" t="s">
        <v>27</v>
      </c>
      <c r="C132" s="142" t="s">
        <v>117</v>
      </c>
      <c r="D132" s="123" t="s">
        <v>261</v>
      </c>
      <c r="E132" s="124" t="s">
        <v>262</v>
      </c>
      <c r="F132" s="191">
        <v>873668</v>
      </c>
      <c r="G132" s="126"/>
    </row>
    <row r="133" spans="2:7" s="94" customFormat="1" ht="14.25" customHeight="1">
      <c r="B133" s="95" t="s">
        <v>27</v>
      </c>
      <c r="C133" s="96" t="s">
        <v>117</v>
      </c>
      <c r="D133" s="97" t="s">
        <v>263</v>
      </c>
      <c r="E133" s="98" t="s">
        <v>264</v>
      </c>
      <c r="F133" s="99">
        <v>392862</v>
      </c>
      <c r="G133" s="82"/>
    </row>
    <row r="134" spans="2:7" s="94" customFormat="1" ht="15.75">
      <c r="B134" s="95" t="s">
        <v>27</v>
      </c>
      <c r="C134" s="96" t="s">
        <v>117</v>
      </c>
      <c r="D134" s="97" t="s">
        <v>265</v>
      </c>
      <c r="E134" s="98" t="s">
        <v>266</v>
      </c>
      <c r="F134" s="99">
        <v>297191</v>
      </c>
      <c r="G134" s="82"/>
    </row>
    <row r="135" spans="2:7" s="94" customFormat="1" ht="15.75">
      <c r="B135" s="95" t="s">
        <v>27</v>
      </c>
      <c r="C135" s="144" t="s">
        <v>117</v>
      </c>
      <c r="D135" s="97" t="s">
        <v>267</v>
      </c>
      <c r="E135" s="98" t="s">
        <v>268</v>
      </c>
      <c r="F135" s="99">
        <v>240500</v>
      </c>
      <c r="G135" s="82"/>
    </row>
    <row r="136" spans="2:7" s="94" customFormat="1" ht="15.75">
      <c r="B136" s="95" t="s">
        <v>27</v>
      </c>
      <c r="C136" s="96" t="s">
        <v>28</v>
      </c>
      <c r="D136" s="97" t="s">
        <v>269</v>
      </c>
      <c r="E136" s="98" t="s">
        <v>270</v>
      </c>
      <c r="F136" s="99">
        <v>246050</v>
      </c>
      <c r="G136" s="82"/>
    </row>
    <row r="137" spans="2:7" s="94" customFormat="1" ht="17.25" customHeight="1">
      <c r="B137" s="95" t="s">
        <v>27</v>
      </c>
      <c r="C137" s="96" t="s">
        <v>28</v>
      </c>
      <c r="D137" s="97" t="s">
        <v>271</v>
      </c>
      <c r="E137" s="98" t="s">
        <v>272</v>
      </c>
      <c r="F137" s="99">
        <v>250000</v>
      </c>
      <c r="G137" s="82"/>
    </row>
    <row r="138" spans="2:7" s="94" customFormat="1" ht="18" customHeight="1">
      <c r="B138" s="95" t="s">
        <v>27</v>
      </c>
      <c r="C138" s="96" t="s">
        <v>117</v>
      </c>
      <c r="D138" s="97" t="s">
        <v>273</v>
      </c>
      <c r="E138" s="98" t="s">
        <v>274</v>
      </c>
      <c r="F138" s="99">
        <v>100000</v>
      </c>
      <c r="G138" s="82"/>
    </row>
    <row r="139" spans="2:7" s="94" customFormat="1" ht="17.25" customHeight="1">
      <c r="B139" s="95" t="s">
        <v>27</v>
      </c>
      <c r="C139" s="96" t="s">
        <v>117</v>
      </c>
      <c r="D139" s="97" t="s">
        <v>275</v>
      </c>
      <c r="E139" s="98" t="s">
        <v>276</v>
      </c>
      <c r="F139" s="99">
        <v>1195000</v>
      </c>
      <c r="G139" s="82"/>
    </row>
    <row r="140" spans="2:7" s="76" customFormat="1" ht="15.75">
      <c r="B140" s="83"/>
      <c r="C140" s="84"/>
      <c r="D140" s="79">
        <v>80104</v>
      </c>
      <c r="E140" s="145" t="s">
        <v>277</v>
      </c>
      <c r="F140" s="81">
        <f>SUM(F141:F142)</f>
        <v>317200</v>
      </c>
      <c r="G140" s="82"/>
    </row>
    <row r="141" spans="2:7" s="94" customFormat="1" ht="15.75">
      <c r="B141" s="95" t="s">
        <v>104</v>
      </c>
      <c r="C141" s="144" t="s">
        <v>117</v>
      </c>
      <c r="D141" s="97" t="s">
        <v>278</v>
      </c>
      <c r="E141" s="98" t="s">
        <v>279</v>
      </c>
      <c r="F141" s="99">
        <v>6000</v>
      </c>
      <c r="G141" s="82"/>
    </row>
    <row r="142" spans="2:7" s="94" customFormat="1" ht="14.25" customHeight="1">
      <c r="B142" s="95" t="s">
        <v>27</v>
      </c>
      <c r="C142" s="96" t="s">
        <v>28</v>
      </c>
      <c r="D142" s="97" t="s">
        <v>280</v>
      </c>
      <c r="E142" s="98" t="s">
        <v>324</v>
      </c>
      <c r="F142" s="99">
        <v>311200</v>
      </c>
      <c r="G142" s="82"/>
    </row>
    <row r="143" spans="2:7" s="76" customFormat="1" ht="15.75">
      <c r="B143" s="83"/>
      <c r="C143" s="84"/>
      <c r="D143" s="79">
        <v>80110</v>
      </c>
      <c r="E143" s="85" t="s">
        <v>325</v>
      </c>
      <c r="F143" s="81">
        <f>SUM(F144:F145)</f>
        <v>192032</v>
      </c>
      <c r="G143" s="82"/>
    </row>
    <row r="144" spans="2:7" s="94" customFormat="1" ht="14.25" customHeight="1">
      <c r="B144" s="95" t="s">
        <v>27</v>
      </c>
      <c r="C144" s="96" t="s">
        <v>28</v>
      </c>
      <c r="D144" s="97" t="s">
        <v>326</v>
      </c>
      <c r="E144" s="140" t="s">
        <v>327</v>
      </c>
      <c r="F144" s="99">
        <v>40000</v>
      </c>
      <c r="G144" s="82"/>
    </row>
    <row r="145" spans="2:7" s="94" customFormat="1" ht="14.25" customHeight="1">
      <c r="B145" s="95" t="s">
        <v>104</v>
      </c>
      <c r="C145" s="144" t="s">
        <v>117</v>
      </c>
      <c r="D145" s="97" t="s">
        <v>328</v>
      </c>
      <c r="E145" s="98" t="s">
        <v>329</v>
      </c>
      <c r="F145" s="99">
        <v>152032</v>
      </c>
      <c r="G145" s="82"/>
    </row>
    <row r="146" spans="2:7" s="76" customFormat="1" ht="15.75">
      <c r="B146" s="83"/>
      <c r="C146" s="199"/>
      <c r="D146" s="79">
        <v>80195</v>
      </c>
      <c r="E146" s="85" t="s">
        <v>153</v>
      </c>
      <c r="F146" s="161">
        <f>F147+F148</f>
        <v>6583004</v>
      </c>
      <c r="G146" s="82"/>
    </row>
    <row r="147" spans="2:7" s="94" customFormat="1" ht="14.25" customHeight="1">
      <c r="B147" s="95" t="s">
        <v>27</v>
      </c>
      <c r="C147" s="96" t="s">
        <v>117</v>
      </c>
      <c r="D147" s="175" t="s">
        <v>330</v>
      </c>
      <c r="E147" s="200" t="s">
        <v>554</v>
      </c>
      <c r="F147" s="169">
        <v>6583004</v>
      </c>
      <c r="G147" s="82"/>
    </row>
    <row r="148" spans="2:7" s="70" customFormat="1" ht="15.75" hidden="1">
      <c r="B148" s="127" t="s">
        <v>104</v>
      </c>
      <c r="C148" s="201" t="s">
        <v>28</v>
      </c>
      <c r="D148" s="164" t="s">
        <v>555</v>
      </c>
      <c r="E148" s="167" t="s">
        <v>556</v>
      </c>
      <c r="F148" s="166"/>
      <c r="G148" s="46"/>
    </row>
    <row r="149" spans="2:7" s="76" customFormat="1" ht="15.75" customHeight="1">
      <c r="B149" s="150"/>
      <c r="C149" s="151"/>
      <c r="D149" s="79">
        <v>851</v>
      </c>
      <c r="E149" s="202" t="s">
        <v>557</v>
      </c>
      <c r="F149" s="81">
        <f>F150+F155+F157</f>
        <v>7737551</v>
      </c>
      <c r="G149" s="82"/>
    </row>
    <row r="150" spans="2:7" s="76" customFormat="1" ht="15.75">
      <c r="B150" s="83"/>
      <c r="C150" s="84"/>
      <c r="D150" s="79">
        <v>85111</v>
      </c>
      <c r="E150" s="85" t="s">
        <v>558</v>
      </c>
      <c r="F150" s="81">
        <f>F151+F152+F153+F154</f>
        <v>5049354</v>
      </c>
      <c r="G150" s="82"/>
    </row>
    <row r="151" spans="2:7" s="94" customFormat="1" ht="15.75">
      <c r="B151" s="95" t="s">
        <v>559</v>
      </c>
      <c r="C151" s="144" t="s">
        <v>205</v>
      </c>
      <c r="D151" s="97" t="s">
        <v>560</v>
      </c>
      <c r="E151" s="100" t="s">
        <v>561</v>
      </c>
      <c r="F151" s="99">
        <v>1210000</v>
      </c>
      <c r="G151" s="82"/>
    </row>
    <row r="152" spans="2:7" s="94" customFormat="1" ht="15.75">
      <c r="B152" s="95" t="s">
        <v>559</v>
      </c>
      <c r="C152" s="144" t="s">
        <v>28</v>
      </c>
      <c r="D152" s="97" t="s">
        <v>562</v>
      </c>
      <c r="E152" s="98" t="s">
        <v>583</v>
      </c>
      <c r="F152" s="99">
        <v>3000000</v>
      </c>
      <c r="G152" s="82"/>
    </row>
    <row r="153" spans="2:7" s="94" customFormat="1" ht="15.75">
      <c r="B153" s="95" t="s">
        <v>559</v>
      </c>
      <c r="C153" s="144" t="s">
        <v>28</v>
      </c>
      <c r="D153" s="97" t="s">
        <v>584</v>
      </c>
      <c r="E153" s="100" t="s">
        <v>585</v>
      </c>
      <c r="F153" s="99">
        <v>480000</v>
      </c>
      <c r="G153" s="82"/>
    </row>
    <row r="154" spans="2:7" s="94" customFormat="1" ht="15.75">
      <c r="B154" s="95" t="s">
        <v>559</v>
      </c>
      <c r="C154" s="144" t="s">
        <v>117</v>
      </c>
      <c r="D154" s="147" t="s">
        <v>586</v>
      </c>
      <c r="E154" s="148" t="s">
        <v>587</v>
      </c>
      <c r="F154" s="149">
        <v>359354</v>
      </c>
      <c r="G154" s="82"/>
    </row>
    <row r="155" spans="2:7" s="76" customFormat="1" ht="16.5" customHeight="1">
      <c r="B155" s="83"/>
      <c r="C155" s="84"/>
      <c r="D155" s="152">
        <v>85121</v>
      </c>
      <c r="E155" s="155" t="s">
        <v>588</v>
      </c>
      <c r="F155" s="154">
        <f>F156</f>
        <v>2188197</v>
      </c>
      <c r="G155" s="82"/>
    </row>
    <row r="156" spans="2:7" s="94" customFormat="1" ht="15.75">
      <c r="B156" s="95" t="s">
        <v>559</v>
      </c>
      <c r="C156" s="144" t="s">
        <v>28</v>
      </c>
      <c r="D156" s="147" t="s">
        <v>589</v>
      </c>
      <c r="E156" s="203" t="s">
        <v>590</v>
      </c>
      <c r="F156" s="204">
        <v>2188197</v>
      </c>
      <c r="G156" s="82"/>
    </row>
    <row r="157" spans="2:7" s="94" customFormat="1" ht="15.75">
      <c r="B157" s="95"/>
      <c r="C157" s="144"/>
      <c r="D157" s="152">
        <v>85195</v>
      </c>
      <c r="E157" s="155" t="s">
        <v>153</v>
      </c>
      <c r="F157" s="81">
        <f>F158</f>
        <v>500000</v>
      </c>
      <c r="G157" s="82"/>
    </row>
    <row r="158" spans="2:7" s="109" customFormat="1" ht="15.75">
      <c r="B158" s="95" t="s">
        <v>559</v>
      </c>
      <c r="C158" s="96" t="s">
        <v>28</v>
      </c>
      <c r="D158" s="205" t="s">
        <v>591</v>
      </c>
      <c r="E158" s="206" t="s">
        <v>592</v>
      </c>
      <c r="F158" s="207">
        <v>500000</v>
      </c>
      <c r="G158" s="82"/>
    </row>
    <row r="159" spans="2:7" s="76" customFormat="1" ht="15.75" customHeight="1">
      <c r="B159" s="77"/>
      <c r="C159" s="78"/>
      <c r="D159" s="152">
        <v>852</v>
      </c>
      <c r="E159" s="153" t="s">
        <v>593</v>
      </c>
      <c r="F159" s="154">
        <f>F160+F162+F164</f>
        <v>1261000</v>
      </c>
      <c r="G159" s="82"/>
    </row>
    <row r="160" spans="2:7" s="76" customFormat="1" ht="15.75">
      <c r="B160" s="83"/>
      <c r="C160" s="84"/>
      <c r="D160" s="79">
        <v>85203</v>
      </c>
      <c r="E160" s="85" t="s">
        <v>594</v>
      </c>
      <c r="F160" s="161">
        <f>+F161</f>
        <v>112000</v>
      </c>
      <c r="G160" s="82"/>
    </row>
    <row r="161" spans="2:7" s="94" customFormat="1" ht="15.75">
      <c r="B161" s="208" t="s">
        <v>27</v>
      </c>
      <c r="C161" s="209" t="s">
        <v>205</v>
      </c>
      <c r="D161" s="147" t="s">
        <v>595</v>
      </c>
      <c r="E161" s="210" t="s">
        <v>596</v>
      </c>
      <c r="F161" s="149">
        <v>112000</v>
      </c>
      <c r="G161" s="82"/>
    </row>
    <row r="162" spans="2:7" s="76" customFormat="1" ht="22.5" customHeight="1">
      <c r="B162" s="196"/>
      <c r="C162" s="173"/>
      <c r="D162" s="152">
        <v>85219</v>
      </c>
      <c r="E162" s="211" t="s">
        <v>597</v>
      </c>
      <c r="F162" s="154">
        <f>F163</f>
        <v>200000</v>
      </c>
      <c r="G162" s="82"/>
    </row>
    <row r="163" spans="2:7" s="76" customFormat="1" ht="22.5" customHeight="1">
      <c r="B163" s="111" t="s">
        <v>104</v>
      </c>
      <c r="C163" s="87" t="s">
        <v>205</v>
      </c>
      <c r="D163" s="97" t="s">
        <v>564</v>
      </c>
      <c r="E163" s="200" t="s">
        <v>565</v>
      </c>
      <c r="F163" s="136">
        <v>200000</v>
      </c>
      <c r="G163" s="82"/>
    </row>
    <row r="164" spans="2:7" s="94" customFormat="1" ht="14.25" customHeight="1">
      <c r="B164" s="83"/>
      <c r="C164" s="84"/>
      <c r="D164" s="79">
        <v>85295</v>
      </c>
      <c r="E164" s="85" t="s">
        <v>153</v>
      </c>
      <c r="F164" s="161">
        <f>F165+F166</f>
        <v>949000</v>
      </c>
      <c r="G164" s="82"/>
    </row>
    <row r="165" spans="2:7" s="94" customFormat="1" ht="15.75">
      <c r="B165" s="111" t="s">
        <v>104</v>
      </c>
      <c r="C165" s="144" t="s">
        <v>205</v>
      </c>
      <c r="D165" s="97" t="s">
        <v>566</v>
      </c>
      <c r="E165" s="140" t="s">
        <v>567</v>
      </c>
      <c r="F165" s="99">
        <v>154000</v>
      </c>
      <c r="G165" s="82"/>
    </row>
    <row r="166" spans="2:7" s="94" customFormat="1" ht="15.75">
      <c r="B166" s="95" t="s">
        <v>27</v>
      </c>
      <c r="C166" s="212" t="s">
        <v>205</v>
      </c>
      <c r="D166" s="97" t="s">
        <v>568</v>
      </c>
      <c r="E166" s="140" t="s">
        <v>569</v>
      </c>
      <c r="F166" s="99">
        <v>795000</v>
      </c>
      <c r="G166" s="82"/>
    </row>
    <row r="167" spans="2:7" s="76" customFormat="1" ht="15.75" customHeight="1">
      <c r="B167" s="77"/>
      <c r="C167" s="78"/>
      <c r="D167" s="79">
        <v>853</v>
      </c>
      <c r="E167" s="80" t="s">
        <v>570</v>
      </c>
      <c r="F167" s="81">
        <f>F168+F172</f>
        <v>700000</v>
      </c>
      <c r="G167" s="82"/>
    </row>
    <row r="168" spans="2:7" s="76" customFormat="1" ht="15.75">
      <c r="B168" s="83"/>
      <c r="C168" s="84"/>
      <c r="D168" s="79">
        <v>85305</v>
      </c>
      <c r="E168" s="85" t="s">
        <v>571</v>
      </c>
      <c r="F168" s="81">
        <f>F169+F170+F171</f>
        <v>700000</v>
      </c>
      <c r="G168" s="82"/>
    </row>
    <row r="169" spans="2:7" s="213" customFormat="1" ht="15.75">
      <c r="B169" s="95" t="s">
        <v>27</v>
      </c>
      <c r="C169" s="144" t="s">
        <v>28</v>
      </c>
      <c r="D169" s="97" t="s">
        <v>572</v>
      </c>
      <c r="E169" s="98" t="s">
        <v>573</v>
      </c>
      <c r="F169" s="99">
        <v>267000</v>
      </c>
      <c r="G169" s="46"/>
    </row>
    <row r="170" spans="2:7" s="213" customFormat="1" ht="15.75">
      <c r="B170" s="95" t="s">
        <v>27</v>
      </c>
      <c r="C170" s="144" t="s">
        <v>28</v>
      </c>
      <c r="D170" s="97" t="s">
        <v>574</v>
      </c>
      <c r="E170" s="98" t="s">
        <v>575</v>
      </c>
      <c r="F170" s="99">
        <v>185000</v>
      </c>
      <c r="G170" s="46"/>
    </row>
    <row r="171" spans="2:7" s="214" customFormat="1" ht="15.75">
      <c r="B171" s="95" t="s">
        <v>27</v>
      </c>
      <c r="C171" s="144" t="s">
        <v>28</v>
      </c>
      <c r="D171" s="97" t="s">
        <v>576</v>
      </c>
      <c r="E171" s="98" t="s">
        <v>577</v>
      </c>
      <c r="F171" s="99">
        <v>248000</v>
      </c>
      <c r="G171" s="82"/>
    </row>
    <row r="172" spans="2:7" s="70" customFormat="1" ht="14.25" customHeight="1" hidden="1">
      <c r="B172" s="215"/>
      <c r="C172" s="216"/>
      <c r="D172" s="67">
        <v>85395</v>
      </c>
      <c r="E172" s="69" t="s">
        <v>153</v>
      </c>
      <c r="F172" s="68">
        <f>F173</f>
        <v>0</v>
      </c>
      <c r="G172" s="46"/>
    </row>
    <row r="173" spans="2:7" s="70" customFormat="1" ht="14.25" customHeight="1" hidden="1">
      <c r="B173" s="177" t="s">
        <v>104</v>
      </c>
      <c r="C173" s="217"/>
      <c r="D173" s="182" t="s">
        <v>578</v>
      </c>
      <c r="E173" s="218" t="s">
        <v>579</v>
      </c>
      <c r="F173" s="219"/>
      <c r="G173" s="46"/>
    </row>
    <row r="174" spans="2:7" s="76" customFormat="1" ht="15.75" customHeight="1">
      <c r="B174" s="150"/>
      <c r="C174" s="151"/>
      <c r="D174" s="79">
        <v>900</v>
      </c>
      <c r="E174" s="80" t="s">
        <v>580</v>
      </c>
      <c r="F174" s="81">
        <f>F175+F183+F186+F188+F199+F203+F207</f>
        <v>345721584</v>
      </c>
      <c r="G174" s="82"/>
    </row>
    <row r="175" spans="2:7" s="76" customFormat="1" ht="15.75">
      <c r="B175" s="196"/>
      <c r="C175" s="173"/>
      <c r="D175" s="152">
        <v>90001</v>
      </c>
      <c r="E175" s="155" t="s">
        <v>581</v>
      </c>
      <c r="F175" s="154">
        <f>F176+F181</f>
        <v>14119860</v>
      </c>
      <c r="G175" s="82"/>
    </row>
    <row r="176" spans="2:7" s="76" customFormat="1" ht="15.75">
      <c r="B176" s="95"/>
      <c r="C176" s="135"/>
      <c r="D176" s="97"/>
      <c r="E176" s="89" t="s">
        <v>53</v>
      </c>
      <c r="F176" s="112">
        <f>SUM(F177:F180)</f>
        <v>14119860</v>
      </c>
      <c r="G176" s="82"/>
    </row>
    <row r="177" spans="2:7" s="94" customFormat="1" ht="15.75">
      <c r="B177" s="95" t="s">
        <v>27</v>
      </c>
      <c r="C177" s="96" t="s">
        <v>28</v>
      </c>
      <c r="D177" s="97" t="s">
        <v>582</v>
      </c>
      <c r="E177" s="100" t="s">
        <v>331</v>
      </c>
      <c r="F177" s="99">
        <v>469860</v>
      </c>
      <c r="G177" s="82" t="s">
        <v>103</v>
      </c>
    </row>
    <row r="178" spans="2:7" s="94" customFormat="1" ht="15.75">
      <c r="B178" s="95" t="s">
        <v>27</v>
      </c>
      <c r="C178" s="96" t="s">
        <v>28</v>
      </c>
      <c r="D178" s="97" t="s">
        <v>332</v>
      </c>
      <c r="E178" s="100" t="s">
        <v>333</v>
      </c>
      <c r="F178" s="99">
        <v>10000000</v>
      </c>
      <c r="G178" s="82"/>
    </row>
    <row r="179" spans="2:7" s="76" customFormat="1" ht="24.75" customHeight="1">
      <c r="B179" s="95" t="s">
        <v>27</v>
      </c>
      <c r="C179" s="135" t="s">
        <v>28</v>
      </c>
      <c r="D179" s="97" t="s">
        <v>334</v>
      </c>
      <c r="E179" s="100" t="s">
        <v>335</v>
      </c>
      <c r="F179" s="99">
        <v>2000000</v>
      </c>
      <c r="G179" s="82" t="s">
        <v>103</v>
      </c>
    </row>
    <row r="180" spans="2:7" s="94" customFormat="1" ht="15.75">
      <c r="B180" s="95" t="s">
        <v>27</v>
      </c>
      <c r="C180" s="96" t="s">
        <v>28</v>
      </c>
      <c r="D180" s="97" t="s">
        <v>336</v>
      </c>
      <c r="E180" s="100" t="s">
        <v>337</v>
      </c>
      <c r="F180" s="99">
        <v>1650000</v>
      </c>
      <c r="G180" s="82" t="s">
        <v>103</v>
      </c>
    </row>
    <row r="181" spans="2:7" s="70" customFormat="1" ht="14.25" customHeight="1" hidden="1">
      <c r="B181" s="30"/>
      <c r="C181" s="132"/>
      <c r="D181" s="73"/>
      <c r="E181" s="129" t="s">
        <v>338</v>
      </c>
      <c r="F181" s="130">
        <f>F182</f>
        <v>0</v>
      </c>
      <c r="G181" s="46"/>
    </row>
    <row r="182" spans="2:7" s="70" customFormat="1" ht="14.25" customHeight="1" hidden="1">
      <c r="B182" s="71" t="s">
        <v>27</v>
      </c>
      <c r="C182" s="72" t="s">
        <v>117</v>
      </c>
      <c r="D182" s="73" t="s">
        <v>339</v>
      </c>
      <c r="E182" s="102" t="s">
        <v>355</v>
      </c>
      <c r="F182" s="75">
        <f>149631-149631</f>
        <v>0</v>
      </c>
      <c r="G182" s="46"/>
    </row>
    <row r="183" spans="2:7" s="40" customFormat="1" ht="15.75">
      <c r="B183" s="58"/>
      <c r="C183" s="59"/>
      <c r="D183" s="79">
        <v>90002</v>
      </c>
      <c r="E183" s="220" t="s">
        <v>356</v>
      </c>
      <c r="F183" s="81">
        <f>F184</f>
        <v>317694233</v>
      </c>
      <c r="G183" s="46"/>
    </row>
    <row r="184" spans="2:7" s="76" customFormat="1" ht="15.75">
      <c r="B184" s="111"/>
      <c r="C184" s="87"/>
      <c r="D184" s="97"/>
      <c r="E184" s="89" t="s">
        <v>357</v>
      </c>
      <c r="F184" s="112">
        <f>F185</f>
        <v>317694233</v>
      </c>
      <c r="G184" s="82"/>
    </row>
    <row r="185" spans="2:7" s="94" customFormat="1" ht="15.75">
      <c r="B185" s="208" t="s">
        <v>27</v>
      </c>
      <c r="C185" s="209" t="s">
        <v>28</v>
      </c>
      <c r="D185" s="147" t="s">
        <v>358</v>
      </c>
      <c r="E185" s="148" t="s">
        <v>359</v>
      </c>
      <c r="F185" s="149">
        <f>309566998+8127235</f>
        <v>317694233</v>
      </c>
      <c r="G185" s="82"/>
    </row>
    <row r="186" spans="2:7" s="70" customFormat="1" ht="14.25" customHeight="1" hidden="1">
      <c r="B186" s="215"/>
      <c r="C186" s="216"/>
      <c r="D186" s="221">
        <v>90003</v>
      </c>
      <c r="E186" s="222" t="s">
        <v>340</v>
      </c>
      <c r="F186" s="223">
        <f>F187</f>
        <v>0</v>
      </c>
      <c r="G186" s="46"/>
    </row>
    <row r="187" spans="2:7" s="70" customFormat="1" ht="12.75" customHeight="1" hidden="1">
      <c r="B187" s="71" t="s">
        <v>27</v>
      </c>
      <c r="C187" s="72" t="s">
        <v>117</v>
      </c>
      <c r="D187" s="73" t="s">
        <v>341</v>
      </c>
      <c r="E187" s="74" t="s">
        <v>342</v>
      </c>
      <c r="F187" s="75"/>
      <c r="G187" s="46"/>
    </row>
    <row r="188" spans="2:7" s="76" customFormat="1" ht="15.75">
      <c r="B188" s="83"/>
      <c r="C188" s="84"/>
      <c r="D188" s="79">
        <v>90004</v>
      </c>
      <c r="E188" s="85" t="s">
        <v>343</v>
      </c>
      <c r="F188" s="81">
        <f>F189+F193+F197</f>
        <v>6123299</v>
      </c>
      <c r="G188" s="82"/>
    </row>
    <row r="189" spans="2:7" s="76" customFormat="1" ht="15.75">
      <c r="B189" s="86"/>
      <c r="C189" s="224"/>
      <c r="D189" s="225"/>
      <c r="E189" s="137" t="s">
        <v>344</v>
      </c>
      <c r="F189" s="90">
        <f>SUM(F190:F192)</f>
        <v>5095299</v>
      </c>
      <c r="G189" s="82"/>
    </row>
    <row r="190" spans="2:7" s="94" customFormat="1" ht="15.75">
      <c r="B190" s="95" t="s">
        <v>345</v>
      </c>
      <c r="C190" s="226" t="s">
        <v>28</v>
      </c>
      <c r="D190" s="227" t="s">
        <v>346</v>
      </c>
      <c r="E190" s="228" t="s">
        <v>347</v>
      </c>
      <c r="F190" s="99">
        <v>100000</v>
      </c>
      <c r="G190" s="82"/>
    </row>
    <row r="191" spans="2:7" s="94" customFormat="1" ht="15.75">
      <c r="B191" s="95" t="s">
        <v>27</v>
      </c>
      <c r="C191" s="212" t="s">
        <v>28</v>
      </c>
      <c r="D191" s="227" t="s">
        <v>348</v>
      </c>
      <c r="E191" s="228" t="s">
        <v>349</v>
      </c>
      <c r="F191" s="99">
        <v>3000000</v>
      </c>
      <c r="G191" s="82" t="s">
        <v>103</v>
      </c>
    </row>
    <row r="192" spans="2:8" s="94" customFormat="1" ht="15.75">
      <c r="B192" s="95" t="s">
        <v>27</v>
      </c>
      <c r="C192" s="212" t="s">
        <v>28</v>
      </c>
      <c r="D192" s="227" t="s">
        <v>350</v>
      </c>
      <c r="E192" s="228" t="s">
        <v>351</v>
      </c>
      <c r="F192" s="99">
        <v>1995299</v>
      </c>
      <c r="G192" s="82"/>
      <c r="H192" s="94">
        <v>1995299</v>
      </c>
    </row>
    <row r="193" spans="2:7" s="146" customFormat="1" ht="12" customHeight="1">
      <c r="B193" s="95"/>
      <c r="C193" s="135"/>
      <c r="D193" s="97"/>
      <c r="E193" s="137" t="s">
        <v>352</v>
      </c>
      <c r="F193" s="112">
        <f>SUM(F194:F196)</f>
        <v>1020000</v>
      </c>
      <c r="G193" s="82"/>
    </row>
    <row r="194" spans="2:8" s="94" customFormat="1" ht="15.75">
      <c r="B194" s="95" t="s">
        <v>164</v>
      </c>
      <c r="C194" s="144" t="s">
        <v>353</v>
      </c>
      <c r="D194" s="97" t="s">
        <v>354</v>
      </c>
      <c r="E194" s="98" t="s">
        <v>360</v>
      </c>
      <c r="F194" s="99">
        <v>260000</v>
      </c>
      <c r="G194" s="82"/>
      <c r="H194" s="94">
        <v>260000</v>
      </c>
    </row>
    <row r="195" spans="2:7" s="94" customFormat="1" ht="15.75">
      <c r="B195" s="95" t="s">
        <v>164</v>
      </c>
      <c r="C195" s="144" t="s">
        <v>28</v>
      </c>
      <c r="D195" s="97" t="s">
        <v>361</v>
      </c>
      <c r="E195" s="98" t="s">
        <v>362</v>
      </c>
      <c r="F195" s="99">
        <v>700000</v>
      </c>
      <c r="G195" s="82"/>
    </row>
    <row r="196" spans="2:7" s="94" customFormat="1" ht="15.75">
      <c r="B196" s="95" t="s">
        <v>164</v>
      </c>
      <c r="C196" s="144" t="s">
        <v>28</v>
      </c>
      <c r="D196" s="97" t="s">
        <v>363</v>
      </c>
      <c r="E196" s="98" t="s">
        <v>364</v>
      </c>
      <c r="F196" s="99">
        <v>60000</v>
      </c>
      <c r="G196" s="82"/>
    </row>
    <row r="197" spans="2:7" s="94" customFormat="1" ht="16.5" customHeight="1">
      <c r="B197" s="95"/>
      <c r="C197" s="96"/>
      <c r="D197" s="97"/>
      <c r="E197" s="89" t="s">
        <v>136</v>
      </c>
      <c r="F197" s="112">
        <f>F198</f>
        <v>8000</v>
      </c>
      <c r="G197" s="82"/>
    </row>
    <row r="198" spans="2:7" s="94" customFormat="1" ht="14.25" customHeight="1">
      <c r="B198" s="95" t="s">
        <v>27</v>
      </c>
      <c r="C198" s="229" t="s">
        <v>523</v>
      </c>
      <c r="D198" s="97" t="s">
        <v>365</v>
      </c>
      <c r="E198" s="140" t="s">
        <v>0</v>
      </c>
      <c r="F198" s="99">
        <v>8000</v>
      </c>
      <c r="G198" s="82"/>
    </row>
    <row r="199" spans="2:7" s="76" customFormat="1" ht="15.75">
      <c r="B199" s="83"/>
      <c r="C199" s="84"/>
      <c r="D199" s="79">
        <v>90013</v>
      </c>
      <c r="E199" s="85" t="s">
        <v>1</v>
      </c>
      <c r="F199" s="81">
        <f>F200</f>
        <v>220000</v>
      </c>
      <c r="G199" s="82"/>
    </row>
    <row r="200" spans="2:7" s="76" customFormat="1" ht="15.75">
      <c r="B200" s="86"/>
      <c r="C200" s="87"/>
      <c r="D200" s="88"/>
      <c r="E200" s="230" t="s">
        <v>2</v>
      </c>
      <c r="F200" s="134">
        <f>F201+F202</f>
        <v>220000</v>
      </c>
      <c r="G200" s="82"/>
    </row>
    <row r="201" spans="2:7" s="76" customFormat="1" ht="15.75">
      <c r="B201" s="111" t="s">
        <v>104</v>
      </c>
      <c r="C201" s="87" t="s">
        <v>117</v>
      </c>
      <c r="D201" s="97" t="s">
        <v>3</v>
      </c>
      <c r="E201" s="98" t="s">
        <v>4</v>
      </c>
      <c r="F201" s="136">
        <v>120000</v>
      </c>
      <c r="G201" s="82"/>
    </row>
    <row r="202" spans="2:7" s="94" customFormat="1" ht="15.75">
      <c r="B202" s="95" t="s">
        <v>27</v>
      </c>
      <c r="C202" s="96" t="s">
        <v>117</v>
      </c>
      <c r="D202" s="147" t="s">
        <v>5</v>
      </c>
      <c r="E202" s="148" t="s">
        <v>6</v>
      </c>
      <c r="F202" s="149">
        <v>100000</v>
      </c>
      <c r="G202" s="82"/>
    </row>
    <row r="203" spans="2:7" s="76" customFormat="1" ht="15.75">
      <c r="B203" s="83"/>
      <c r="C203" s="84"/>
      <c r="D203" s="79">
        <v>90015</v>
      </c>
      <c r="E203" s="85" t="s">
        <v>7</v>
      </c>
      <c r="F203" s="81">
        <f>F204</f>
        <v>3994192</v>
      </c>
      <c r="G203" s="82"/>
    </row>
    <row r="204" spans="2:7" s="76" customFormat="1" ht="15.75">
      <c r="B204" s="86"/>
      <c r="C204" s="231"/>
      <c r="D204" s="232"/>
      <c r="E204" s="233" t="s">
        <v>53</v>
      </c>
      <c r="F204" s="234">
        <f>F205+F206</f>
        <v>3994192</v>
      </c>
      <c r="G204" s="82"/>
    </row>
    <row r="205" spans="2:8" s="76" customFormat="1" ht="15.75">
      <c r="B205" s="95" t="s">
        <v>27</v>
      </c>
      <c r="C205" s="96" t="s">
        <v>28</v>
      </c>
      <c r="D205" s="97" t="s">
        <v>8</v>
      </c>
      <c r="E205" s="98" t="s">
        <v>598</v>
      </c>
      <c r="F205" s="99">
        <f>200000+66132</f>
        <v>266132</v>
      </c>
      <c r="G205" s="82"/>
      <c r="H205" s="76">
        <v>66132</v>
      </c>
    </row>
    <row r="206" spans="2:7" s="76" customFormat="1" ht="15.75">
      <c r="B206" s="95" t="s">
        <v>27</v>
      </c>
      <c r="C206" s="96" t="s">
        <v>28</v>
      </c>
      <c r="D206" s="97" t="s">
        <v>599</v>
      </c>
      <c r="E206" s="98" t="s">
        <v>600</v>
      </c>
      <c r="F206" s="99">
        <v>3728060</v>
      </c>
      <c r="G206" s="82" t="s">
        <v>103</v>
      </c>
    </row>
    <row r="207" spans="2:7" s="76" customFormat="1" ht="15.75">
      <c r="B207" s="83"/>
      <c r="C207" s="84"/>
      <c r="D207" s="79">
        <v>90095</v>
      </c>
      <c r="E207" s="85" t="s">
        <v>153</v>
      </c>
      <c r="F207" s="81">
        <f>F208+F211</f>
        <v>3570000</v>
      </c>
      <c r="G207" s="82"/>
    </row>
    <row r="208" spans="2:7" s="76" customFormat="1" ht="14.25" customHeight="1">
      <c r="B208" s="111"/>
      <c r="C208" s="87"/>
      <c r="D208" s="88"/>
      <c r="E208" s="137" t="s">
        <v>2</v>
      </c>
      <c r="F208" s="134">
        <f>F209+F210</f>
        <v>120000</v>
      </c>
      <c r="G208" s="82"/>
    </row>
    <row r="209" spans="2:7" s="76" customFormat="1" ht="14.25" customHeight="1">
      <c r="B209" s="111" t="s">
        <v>27</v>
      </c>
      <c r="C209" s="87" t="s">
        <v>117</v>
      </c>
      <c r="D209" s="97" t="s">
        <v>601</v>
      </c>
      <c r="E209" s="228" t="s">
        <v>602</v>
      </c>
      <c r="F209" s="136">
        <v>100000</v>
      </c>
      <c r="G209" s="82"/>
    </row>
    <row r="210" spans="2:7" s="138" customFormat="1" ht="14.25" customHeight="1">
      <c r="B210" s="87" t="s">
        <v>27</v>
      </c>
      <c r="C210" s="87" t="s">
        <v>117</v>
      </c>
      <c r="D210" s="97" t="s">
        <v>603</v>
      </c>
      <c r="E210" s="228" t="s">
        <v>67</v>
      </c>
      <c r="F210" s="136">
        <v>20000</v>
      </c>
      <c r="G210" s="141"/>
    </row>
    <row r="211" spans="2:7" s="40" customFormat="1" ht="14.25" customHeight="1">
      <c r="B211" s="30"/>
      <c r="C211" s="132"/>
      <c r="D211" s="133"/>
      <c r="E211" s="137" t="s">
        <v>338</v>
      </c>
      <c r="F211" s="134">
        <f>F212</f>
        <v>3450000</v>
      </c>
      <c r="G211" s="46"/>
    </row>
    <row r="212" spans="2:7" s="76" customFormat="1" ht="14.25" customHeight="1">
      <c r="B212" s="95" t="s">
        <v>27</v>
      </c>
      <c r="C212" s="96" t="s">
        <v>28</v>
      </c>
      <c r="D212" s="97" t="s">
        <v>68</v>
      </c>
      <c r="E212" s="100" t="s">
        <v>69</v>
      </c>
      <c r="F212" s="125">
        <f>150000+3300000</f>
        <v>3450000</v>
      </c>
      <c r="G212" s="82"/>
    </row>
    <row r="213" spans="2:7" s="40" customFormat="1" ht="14.25" customHeight="1" hidden="1">
      <c r="B213" s="71" t="s">
        <v>27</v>
      </c>
      <c r="C213" s="72" t="s">
        <v>28</v>
      </c>
      <c r="D213" s="164" t="s">
        <v>70</v>
      </c>
      <c r="E213" s="167" t="s">
        <v>71</v>
      </c>
      <c r="F213" s="166"/>
      <c r="G213" s="46"/>
    </row>
    <row r="214" spans="2:7" s="76" customFormat="1" ht="15" customHeight="1">
      <c r="B214" s="77"/>
      <c r="C214" s="78"/>
      <c r="D214" s="79">
        <v>921</v>
      </c>
      <c r="E214" s="80" t="s">
        <v>72</v>
      </c>
      <c r="F214" s="81">
        <f>F215+F217+F219+F223+F225+F227+F232</f>
        <v>2243000</v>
      </c>
      <c r="G214" s="82"/>
    </row>
    <row r="215" spans="2:7" s="76" customFormat="1" ht="15" customHeight="1">
      <c r="B215" s="77"/>
      <c r="C215" s="78"/>
      <c r="D215" s="79">
        <v>92109</v>
      </c>
      <c r="E215" s="235" t="s">
        <v>73</v>
      </c>
      <c r="F215" s="81">
        <f>F216</f>
        <v>10000</v>
      </c>
      <c r="G215" s="82"/>
    </row>
    <row r="216" spans="2:7" s="76" customFormat="1" ht="15" customHeight="1">
      <c r="B216" s="77" t="s">
        <v>559</v>
      </c>
      <c r="C216" s="78" t="s">
        <v>28</v>
      </c>
      <c r="D216" s="205" t="s">
        <v>74</v>
      </c>
      <c r="E216" s="236" t="s">
        <v>75</v>
      </c>
      <c r="F216" s="207">
        <v>10000</v>
      </c>
      <c r="G216" s="82"/>
    </row>
    <row r="217" spans="2:7" s="76" customFormat="1" ht="15.75">
      <c r="B217" s="83"/>
      <c r="C217" s="84"/>
      <c r="D217" s="79">
        <v>92110</v>
      </c>
      <c r="E217" s="85" t="s">
        <v>76</v>
      </c>
      <c r="F217" s="81">
        <f>F218</f>
        <v>200000</v>
      </c>
      <c r="G217" s="82"/>
    </row>
    <row r="218" spans="2:7" s="76" customFormat="1" ht="15.75">
      <c r="B218" s="95" t="s">
        <v>559</v>
      </c>
      <c r="C218" s="144" t="s">
        <v>523</v>
      </c>
      <c r="D218" s="147" t="s">
        <v>77</v>
      </c>
      <c r="E218" s="148" t="s">
        <v>78</v>
      </c>
      <c r="F218" s="149">
        <v>200000</v>
      </c>
      <c r="G218" s="82"/>
    </row>
    <row r="219" spans="2:7" s="76" customFormat="1" ht="15.75">
      <c r="B219" s="83"/>
      <c r="C219" s="173"/>
      <c r="D219" s="79">
        <v>92113</v>
      </c>
      <c r="E219" s="85" t="s">
        <v>604</v>
      </c>
      <c r="F219" s="81">
        <f>F220</f>
        <v>750000</v>
      </c>
      <c r="G219" s="82"/>
    </row>
    <row r="220" spans="2:7" s="76" customFormat="1" ht="15.75">
      <c r="B220" s="111"/>
      <c r="C220" s="87"/>
      <c r="D220" s="88"/>
      <c r="E220" s="89" t="s">
        <v>605</v>
      </c>
      <c r="F220" s="112">
        <f>F221+F222</f>
        <v>750000</v>
      </c>
      <c r="G220" s="82"/>
    </row>
    <row r="221" spans="2:7" s="76" customFormat="1" ht="15.75" customHeight="1">
      <c r="B221" s="95" t="s">
        <v>559</v>
      </c>
      <c r="C221" s="144" t="s">
        <v>205</v>
      </c>
      <c r="D221" s="97" t="s">
        <v>606</v>
      </c>
      <c r="E221" s="100" t="s">
        <v>607</v>
      </c>
      <c r="F221" s="99">
        <v>700000</v>
      </c>
      <c r="G221" s="82"/>
    </row>
    <row r="222" spans="2:7" s="76" customFormat="1" ht="15.75">
      <c r="B222" s="208" t="s">
        <v>559</v>
      </c>
      <c r="C222" s="171" t="s">
        <v>28</v>
      </c>
      <c r="D222" s="147" t="s">
        <v>608</v>
      </c>
      <c r="E222" s="148" t="s">
        <v>609</v>
      </c>
      <c r="F222" s="149">
        <v>50000</v>
      </c>
      <c r="G222" s="82"/>
    </row>
    <row r="223" spans="2:7" s="76" customFormat="1" ht="15.75">
      <c r="B223" s="83"/>
      <c r="C223" s="84"/>
      <c r="D223" s="152">
        <v>92114</v>
      </c>
      <c r="E223" s="155" t="s">
        <v>79</v>
      </c>
      <c r="F223" s="154">
        <f>F224</f>
        <v>40000</v>
      </c>
      <c r="G223" s="82"/>
    </row>
    <row r="224" spans="2:7" s="76" customFormat="1" ht="15.75">
      <c r="B224" s="95" t="s">
        <v>559</v>
      </c>
      <c r="C224" s="144" t="s">
        <v>28</v>
      </c>
      <c r="D224" s="147" t="s">
        <v>80</v>
      </c>
      <c r="E224" s="148" t="s">
        <v>81</v>
      </c>
      <c r="F224" s="149">
        <v>40000</v>
      </c>
      <c r="G224" s="82"/>
    </row>
    <row r="225" spans="2:7" s="76" customFormat="1" ht="15.75">
      <c r="B225" s="83"/>
      <c r="C225" s="84"/>
      <c r="D225" s="79">
        <v>92116</v>
      </c>
      <c r="E225" s="85" t="s">
        <v>82</v>
      </c>
      <c r="F225" s="81">
        <f>F226</f>
        <v>60000</v>
      </c>
      <c r="G225" s="82"/>
    </row>
    <row r="226" spans="2:7" s="76" customFormat="1" ht="15.75">
      <c r="B226" s="95" t="s">
        <v>559</v>
      </c>
      <c r="C226" s="144" t="s">
        <v>28</v>
      </c>
      <c r="D226" s="97" t="s">
        <v>83</v>
      </c>
      <c r="E226" s="98" t="s">
        <v>84</v>
      </c>
      <c r="F226" s="99">
        <v>60000</v>
      </c>
      <c r="G226" s="82"/>
    </row>
    <row r="227" spans="2:7" s="76" customFormat="1" ht="15.75">
      <c r="B227" s="83"/>
      <c r="C227" s="84"/>
      <c r="D227" s="79">
        <v>92118</v>
      </c>
      <c r="E227" s="85" t="s">
        <v>85</v>
      </c>
      <c r="F227" s="81">
        <f>F228+F231</f>
        <v>330000</v>
      </c>
      <c r="G227" s="82"/>
    </row>
    <row r="228" spans="2:7" s="76" customFormat="1" ht="15.75">
      <c r="B228" s="111"/>
      <c r="C228" s="87"/>
      <c r="D228" s="88"/>
      <c r="E228" s="89" t="s">
        <v>86</v>
      </c>
      <c r="F228" s="112">
        <f>F229+F230</f>
        <v>300000</v>
      </c>
      <c r="G228" s="82"/>
    </row>
    <row r="229" spans="2:7" s="76" customFormat="1" ht="15.75">
      <c r="B229" s="95" t="s">
        <v>559</v>
      </c>
      <c r="C229" s="144" t="s">
        <v>28</v>
      </c>
      <c r="D229" s="97" t="s">
        <v>87</v>
      </c>
      <c r="E229" s="98" t="s">
        <v>88</v>
      </c>
      <c r="F229" s="99">
        <v>200000</v>
      </c>
      <c r="G229" s="82"/>
    </row>
    <row r="230" spans="2:7" s="76" customFormat="1" ht="15.75">
      <c r="B230" s="95" t="s">
        <v>559</v>
      </c>
      <c r="C230" s="144" t="s">
        <v>28</v>
      </c>
      <c r="D230" s="97" t="s">
        <v>89</v>
      </c>
      <c r="E230" s="98" t="s">
        <v>90</v>
      </c>
      <c r="F230" s="99">
        <v>100000</v>
      </c>
      <c r="G230" s="82"/>
    </row>
    <row r="231" spans="2:7" s="76" customFormat="1" ht="15.75">
      <c r="B231" s="95" t="s">
        <v>559</v>
      </c>
      <c r="C231" s="144" t="s">
        <v>28</v>
      </c>
      <c r="D231" s="147" t="s">
        <v>91</v>
      </c>
      <c r="E231" s="148" t="s">
        <v>92</v>
      </c>
      <c r="F231" s="149">
        <v>30000</v>
      </c>
      <c r="G231" s="82"/>
    </row>
    <row r="232" spans="2:7" s="76" customFormat="1" ht="18.75" customHeight="1">
      <c r="B232" s="196"/>
      <c r="C232" s="173"/>
      <c r="D232" s="152">
        <v>92195</v>
      </c>
      <c r="E232" s="155" t="s">
        <v>153</v>
      </c>
      <c r="F232" s="154">
        <f>F234</f>
        <v>853000</v>
      </c>
      <c r="G232" s="82"/>
    </row>
    <row r="233" spans="2:7" s="237" customFormat="1" ht="15.75" hidden="1">
      <c r="B233" s="71" t="s">
        <v>27</v>
      </c>
      <c r="C233" s="72" t="s">
        <v>28</v>
      </c>
      <c r="D233" s="73" t="s">
        <v>93</v>
      </c>
      <c r="E233" s="102" t="s">
        <v>94</v>
      </c>
      <c r="F233" s="75"/>
      <c r="G233" s="46"/>
    </row>
    <row r="234" spans="2:7" s="138" customFormat="1" ht="22.5">
      <c r="B234" s="95" t="s">
        <v>27</v>
      </c>
      <c r="C234" s="96" t="s">
        <v>28</v>
      </c>
      <c r="D234" s="97" t="s">
        <v>95</v>
      </c>
      <c r="E234" s="238" t="s">
        <v>610</v>
      </c>
      <c r="F234" s="99">
        <v>853000</v>
      </c>
      <c r="G234" s="82"/>
    </row>
    <row r="235" spans="2:7" s="237" customFormat="1" ht="15.75" customHeight="1" hidden="1">
      <c r="B235" s="71"/>
      <c r="C235" s="72"/>
      <c r="D235" s="73"/>
      <c r="E235" s="129" t="s">
        <v>611</v>
      </c>
      <c r="F235" s="130">
        <f>F236</f>
        <v>0</v>
      </c>
      <c r="G235" s="46"/>
    </row>
    <row r="236" spans="2:7" s="237" customFormat="1" ht="26.25" customHeight="1" hidden="1">
      <c r="B236" s="127" t="s">
        <v>27</v>
      </c>
      <c r="C236" s="128" t="s">
        <v>117</v>
      </c>
      <c r="D236" s="164" t="s">
        <v>612</v>
      </c>
      <c r="E236" s="239" t="s">
        <v>610</v>
      </c>
      <c r="F236" s="75"/>
      <c r="G236" s="46"/>
    </row>
    <row r="237" spans="2:7" s="76" customFormat="1" ht="15.75">
      <c r="B237" s="77"/>
      <c r="C237" s="78"/>
      <c r="D237" s="79">
        <v>925</v>
      </c>
      <c r="E237" s="240" t="s">
        <v>59</v>
      </c>
      <c r="F237" s="81">
        <f>F238</f>
        <v>2300000</v>
      </c>
      <c r="G237" s="82"/>
    </row>
    <row r="238" spans="2:7" s="76" customFormat="1" ht="15.75">
      <c r="B238" s="83"/>
      <c r="C238" s="84"/>
      <c r="D238" s="79">
        <v>92504</v>
      </c>
      <c r="E238" s="85" t="s">
        <v>60</v>
      </c>
      <c r="F238" s="81">
        <f>F239+F243</f>
        <v>2300000</v>
      </c>
      <c r="G238" s="82"/>
    </row>
    <row r="239" spans="2:7" s="76" customFormat="1" ht="18" customHeight="1">
      <c r="B239" s="86"/>
      <c r="C239" s="157"/>
      <c r="D239" s="158"/>
      <c r="E239" s="159" t="s">
        <v>61</v>
      </c>
      <c r="F239" s="90">
        <f>F240+F241+F242</f>
        <v>1100000</v>
      </c>
      <c r="G239" s="82"/>
    </row>
    <row r="240" spans="2:7" s="94" customFormat="1" ht="15.75">
      <c r="B240" s="95" t="s">
        <v>27</v>
      </c>
      <c r="C240" s="96" t="s">
        <v>28</v>
      </c>
      <c r="D240" s="97" t="s">
        <v>62</v>
      </c>
      <c r="E240" s="98" t="s">
        <v>63</v>
      </c>
      <c r="F240" s="99">
        <v>500000</v>
      </c>
      <c r="G240" s="82"/>
    </row>
    <row r="241" spans="2:7" s="76" customFormat="1" ht="13.5" customHeight="1">
      <c r="B241" s="95" t="s">
        <v>104</v>
      </c>
      <c r="C241" s="144" t="s">
        <v>28</v>
      </c>
      <c r="D241" s="97" t="s">
        <v>64</v>
      </c>
      <c r="E241" s="98" t="s">
        <v>65</v>
      </c>
      <c r="F241" s="99">
        <v>100000</v>
      </c>
      <c r="G241" s="82"/>
    </row>
    <row r="242" spans="2:7" s="76" customFormat="1" ht="15.75">
      <c r="B242" s="95" t="s">
        <v>27</v>
      </c>
      <c r="C242" s="96" t="s">
        <v>117</v>
      </c>
      <c r="D242" s="97" t="s">
        <v>66</v>
      </c>
      <c r="E242" s="98" t="s">
        <v>21</v>
      </c>
      <c r="F242" s="99">
        <v>500000</v>
      </c>
      <c r="G242" s="82"/>
    </row>
    <row r="243" spans="2:7" s="76" customFormat="1" ht="13.5" customHeight="1">
      <c r="B243" s="111"/>
      <c r="C243" s="87"/>
      <c r="D243" s="88"/>
      <c r="E243" s="89" t="s">
        <v>22</v>
      </c>
      <c r="F243" s="112">
        <f>F244+F245+F246</f>
        <v>1200000</v>
      </c>
      <c r="G243" s="82"/>
    </row>
    <row r="244" spans="2:7" s="76" customFormat="1" ht="15.75">
      <c r="B244" s="95" t="s">
        <v>104</v>
      </c>
      <c r="C244" s="144" t="s">
        <v>28</v>
      </c>
      <c r="D244" s="97" t="s">
        <v>23</v>
      </c>
      <c r="E244" s="98" t="s">
        <v>379</v>
      </c>
      <c r="F244" s="99">
        <v>100000</v>
      </c>
      <c r="G244" s="82"/>
    </row>
    <row r="245" spans="2:7" s="76" customFormat="1" ht="14.25" customHeight="1">
      <c r="B245" s="95" t="s">
        <v>27</v>
      </c>
      <c r="C245" s="96" t="s">
        <v>28</v>
      </c>
      <c r="D245" s="97" t="s">
        <v>380</v>
      </c>
      <c r="E245" s="98" t="s">
        <v>381</v>
      </c>
      <c r="F245" s="99">
        <v>100000</v>
      </c>
      <c r="G245" s="82"/>
    </row>
    <row r="246" spans="2:7" s="76" customFormat="1" ht="14.25" customHeight="1">
      <c r="B246" s="208" t="s">
        <v>27</v>
      </c>
      <c r="C246" s="209" t="s">
        <v>28</v>
      </c>
      <c r="D246" s="147" t="s">
        <v>382</v>
      </c>
      <c r="E246" s="148" t="s">
        <v>383</v>
      </c>
      <c r="F246" s="149">
        <v>1000000</v>
      </c>
      <c r="G246" s="82"/>
    </row>
    <row r="247" spans="2:7" s="76" customFormat="1" ht="15.75" customHeight="1">
      <c r="B247" s="150"/>
      <c r="C247" s="151"/>
      <c r="D247" s="152">
        <v>926</v>
      </c>
      <c r="E247" s="153" t="s">
        <v>384</v>
      </c>
      <c r="F247" s="154">
        <f>F248+F264+F277</f>
        <v>15626343</v>
      </c>
      <c r="G247" s="82"/>
    </row>
    <row r="248" spans="2:7" s="76" customFormat="1" ht="15.75">
      <c r="B248" s="83"/>
      <c r="C248" s="84"/>
      <c r="D248" s="79">
        <v>92601</v>
      </c>
      <c r="E248" s="85" t="s">
        <v>385</v>
      </c>
      <c r="F248" s="81">
        <f>F249+F250</f>
        <v>746469</v>
      </c>
      <c r="G248" s="82"/>
    </row>
    <row r="249" spans="2:7" s="138" customFormat="1" ht="15" customHeight="1">
      <c r="B249" s="111" t="s">
        <v>27</v>
      </c>
      <c r="C249" s="139" t="s">
        <v>28</v>
      </c>
      <c r="D249" s="97" t="s">
        <v>386</v>
      </c>
      <c r="E249" s="98" t="s">
        <v>387</v>
      </c>
      <c r="F249" s="136">
        <v>100000</v>
      </c>
      <c r="G249" s="82"/>
    </row>
    <row r="250" spans="2:7" s="94" customFormat="1" ht="21" customHeight="1">
      <c r="B250" s="95"/>
      <c r="C250" s="135"/>
      <c r="D250" s="88"/>
      <c r="E250" s="89" t="s">
        <v>388</v>
      </c>
      <c r="F250" s="134">
        <f>SUM(F251:F263)</f>
        <v>646469</v>
      </c>
      <c r="G250" s="82"/>
    </row>
    <row r="251" spans="2:7" s="241" customFormat="1" ht="15.75" hidden="1">
      <c r="B251" s="71" t="s">
        <v>27</v>
      </c>
      <c r="C251" s="72" t="s">
        <v>117</v>
      </c>
      <c r="D251" s="73" t="s">
        <v>389</v>
      </c>
      <c r="E251" s="74" t="s">
        <v>37</v>
      </c>
      <c r="F251" s="75"/>
      <c r="G251" s="46"/>
    </row>
    <row r="252" spans="2:7" s="242" customFormat="1" ht="15.75">
      <c r="B252" s="95" t="s">
        <v>27</v>
      </c>
      <c r="C252" s="96" t="s">
        <v>28</v>
      </c>
      <c r="D252" s="97" t="s">
        <v>38</v>
      </c>
      <c r="E252" s="98" t="s">
        <v>39</v>
      </c>
      <c r="F252" s="99">
        <v>33000</v>
      </c>
      <c r="G252" s="82"/>
    </row>
    <row r="253" spans="2:7" s="242" customFormat="1" ht="15.75">
      <c r="B253" s="208" t="s">
        <v>27</v>
      </c>
      <c r="C253" s="96" t="s">
        <v>523</v>
      </c>
      <c r="D253" s="97" t="s">
        <v>399</v>
      </c>
      <c r="E253" s="98" t="s">
        <v>400</v>
      </c>
      <c r="F253" s="99">
        <v>120000</v>
      </c>
      <c r="G253" s="82"/>
    </row>
    <row r="254" spans="2:7" s="242" customFormat="1" ht="13.5" customHeight="1">
      <c r="B254" s="208" t="s">
        <v>27</v>
      </c>
      <c r="C254" s="96" t="s">
        <v>28</v>
      </c>
      <c r="D254" s="97" t="s">
        <v>401</v>
      </c>
      <c r="E254" s="98" t="s">
        <v>402</v>
      </c>
      <c r="F254" s="99">
        <v>37255</v>
      </c>
      <c r="G254" s="82"/>
    </row>
    <row r="255" spans="2:7" s="242" customFormat="1" ht="15.75">
      <c r="B255" s="208" t="s">
        <v>27</v>
      </c>
      <c r="C255" s="96" t="s">
        <v>28</v>
      </c>
      <c r="D255" s="97" t="s">
        <v>403</v>
      </c>
      <c r="E255" s="100" t="s">
        <v>404</v>
      </c>
      <c r="F255" s="99">
        <v>30000</v>
      </c>
      <c r="G255" s="82"/>
    </row>
    <row r="256" spans="2:7" s="243" customFormat="1" ht="14.25" customHeight="1">
      <c r="B256" s="208" t="s">
        <v>27</v>
      </c>
      <c r="C256" s="96" t="s">
        <v>117</v>
      </c>
      <c r="D256" s="97" t="s">
        <v>405</v>
      </c>
      <c r="E256" s="98" t="s">
        <v>98</v>
      </c>
      <c r="F256" s="99">
        <v>25000</v>
      </c>
      <c r="G256" s="46"/>
    </row>
    <row r="257" spans="2:8" s="242" customFormat="1" ht="14.25" customHeight="1">
      <c r="B257" s="208" t="s">
        <v>27</v>
      </c>
      <c r="C257" s="96" t="s">
        <v>117</v>
      </c>
      <c r="D257" s="97" t="s">
        <v>99</v>
      </c>
      <c r="E257" s="98" t="s">
        <v>372</v>
      </c>
      <c r="F257" s="99">
        <v>228326</v>
      </c>
      <c r="G257" s="82"/>
      <c r="H257" s="242">
        <v>228326</v>
      </c>
    </row>
    <row r="258" spans="2:7" s="76" customFormat="1" ht="15.75">
      <c r="B258" s="208" t="s">
        <v>27</v>
      </c>
      <c r="C258" s="96" t="s">
        <v>117</v>
      </c>
      <c r="D258" s="97" t="s">
        <v>373</v>
      </c>
      <c r="E258" s="98" t="s">
        <v>374</v>
      </c>
      <c r="F258" s="99">
        <v>40000</v>
      </c>
      <c r="G258" s="82"/>
    </row>
    <row r="259" spans="2:7" s="242" customFormat="1" ht="15.75">
      <c r="B259" s="208" t="s">
        <v>27</v>
      </c>
      <c r="C259" s="96" t="s">
        <v>117</v>
      </c>
      <c r="D259" s="97" t="s">
        <v>375</v>
      </c>
      <c r="E259" s="100" t="s">
        <v>376</v>
      </c>
      <c r="F259" s="99">
        <v>11000</v>
      </c>
      <c r="G259" s="82"/>
    </row>
    <row r="260" spans="2:7" s="76" customFormat="1" ht="14.25" customHeight="1">
      <c r="B260" s="208" t="s">
        <v>27</v>
      </c>
      <c r="C260" s="96" t="s">
        <v>28</v>
      </c>
      <c r="D260" s="97" t="s">
        <v>377</v>
      </c>
      <c r="E260" s="100" t="s">
        <v>378</v>
      </c>
      <c r="F260" s="99">
        <v>21888</v>
      </c>
      <c r="G260" s="82"/>
    </row>
    <row r="261" spans="2:7" s="76" customFormat="1" ht="14.25" customHeight="1">
      <c r="B261" s="208" t="s">
        <v>27</v>
      </c>
      <c r="C261" s="96" t="s">
        <v>28</v>
      </c>
      <c r="D261" s="97" t="s">
        <v>152</v>
      </c>
      <c r="E261" s="228" t="s">
        <v>406</v>
      </c>
      <c r="F261" s="99">
        <v>30000</v>
      </c>
      <c r="G261" s="82"/>
    </row>
    <row r="262" spans="2:7" s="76" customFormat="1" ht="15.75">
      <c r="B262" s="208" t="s">
        <v>27</v>
      </c>
      <c r="C262" s="96" t="s">
        <v>28</v>
      </c>
      <c r="D262" s="97" t="s">
        <v>407</v>
      </c>
      <c r="E262" s="98" t="s">
        <v>408</v>
      </c>
      <c r="F262" s="99">
        <v>50000</v>
      </c>
      <c r="G262" s="82"/>
    </row>
    <row r="263" spans="2:7" s="76" customFormat="1" ht="14.25" customHeight="1">
      <c r="B263" s="95" t="s">
        <v>104</v>
      </c>
      <c r="C263" s="209" t="s">
        <v>117</v>
      </c>
      <c r="D263" s="147" t="s">
        <v>409</v>
      </c>
      <c r="E263" s="148" t="s">
        <v>410</v>
      </c>
      <c r="F263" s="149">
        <v>20000</v>
      </c>
      <c r="G263" s="82"/>
    </row>
    <row r="264" spans="2:7" s="76" customFormat="1" ht="18.75" customHeight="1">
      <c r="B264" s="83"/>
      <c r="C264" s="173"/>
      <c r="D264" s="152">
        <v>92604</v>
      </c>
      <c r="E264" s="155" t="s">
        <v>411</v>
      </c>
      <c r="F264" s="154">
        <f>F265</f>
        <v>14879874</v>
      </c>
      <c r="G264" s="82"/>
    </row>
    <row r="265" spans="2:7" s="94" customFormat="1" ht="15.75">
      <c r="B265" s="95"/>
      <c r="C265" s="135"/>
      <c r="D265" s="88"/>
      <c r="E265" s="89" t="s">
        <v>412</v>
      </c>
      <c r="F265" s="134">
        <f>SUM(F266:F276)</f>
        <v>14879874</v>
      </c>
      <c r="G265" s="82"/>
    </row>
    <row r="266" spans="2:7" s="109" customFormat="1" ht="14.25" customHeight="1">
      <c r="B266" s="95" t="s">
        <v>164</v>
      </c>
      <c r="C266" s="96" t="s">
        <v>28</v>
      </c>
      <c r="D266" s="97" t="s">
        <v>413</v>
      </c>
      <c r="E266" s="98" t="s">
        <v>414</v>
      </c>
      <c r="F266" s="99">
        <v>500000</v>
      </c>
      <c r="G266" s="82"/>
    </row>
    <row r="267" spans="2:7" s="109" customFormat="1" ht="15.75">
      <c r="B267" s="95" t="s">
        <v>164</v>
      </c>
      <c r="C267" s="96" t="s">
        <v>202</v>
      </c>
      <c r="D267" s="97" t="s">
        <v>415</v>
      </c>
      <c r="E267" s="98" t="s">
        <v>416</v>
      </c>
      <c r="F267" s="99">
        <v>200000</v>
      </c>
      <c r="G267" s="82"/>
    </row>
    <row r="268" spans="2:7" s="76" customFormat="1" ht="14.25" customHeight="1">
      <c r="B268" s="95" t="s">
        <v>164</v>
      </c>
      <c r="C268" s="144" t="s">
        <v>202</v>
      </c>
      <c r="D268" s="97" t="s">
        <v>417</v>
      </c>
      <c r="E268" s="98" t="s">
        <v>418</v>
      </c>
      <c r="F268" s="99">
        <v>990000</v>
      </c>
      <c r="G268" s="82"/>
    </row>
    <row r="269" spans="2:8" s="76" customFormat="1" ht="14.25" customHeight="1">
      <c r="B269" s="95" t="s">
        <v>164</v>
      </c>
      <c r="C269" s="144" t="s">
        <v>28</v>
      </c>
      <c r="D269" s="97" t="s">
        <v>419</v>
      </c>
      <c r="E269" s="98" t="s">
        <v>420</v>
      </c>
      <c r="F269" s="99">
        <f>3000000+30000</f>
        <v>3030000</v>
      </c>
      <c r="G269" s="46" t="s">
        <v>103</v>
      </c>
      <c r="H269" s="76">
        <v>30000</v>
      </c>
    </row>
    <row r="270" spans="2:7" s="76" customFormat="1" ht="15.75">
      <c r="B270" s="95" t="s">
        <v>164</v>
      </c>
      <c r="C270" s="144" t="s">
        <v>28</v>
      </c>
      <c r="D270" s="97" t="s">
        <v>421</v>
      </c>
      <c r="E270" s="98" t="s">
        <v>422</v>
      </c>
      <c r="F270" s="99">
        <v>160000</v>
      </c>
      <c r="G270" s="82"/>
    </row>
    <row r="271" spans="2:7" s="76" customFormat="1" ht="15.75">
      <c r="B271" s="95" t="s">
        <v>164</v>
      </c>
      <c r="C271" s="144" t="s">
        <v>28</v>
      </c>
      <c r="D271" s="97" t="s">
        <v>423</v>
      </c>
      <c r="E271" s="98" t="s">
        <v>424</v>
      </c>
      <c r="F271" s="99">
        <v>2900000</v>
      </c>
      <c r="G271" s="82"/>
    </row>
    <row r="272" spans="2:7" s="76" customFormat="1" ht="15.75">
      <c r="B272" s="95" t="s">
        <v>164</v>
      </c>
      <c r="C272" s="144" t="s">
        <v>425</v>
      </c>
      <c r="D272" s="97" t="s">
        <v>426</v>
      </c>
      <c r="E272" s="98" t="s">
        <v>427</v>
      </c>
      <c r="F272" s="99">
        <f>500000+500000</f>
        <v>1000000</v>
      </c>
      <c r="G272" s="82"/>
    </row>
    <row r="273" spans="2:8" s="76" customFormat="1" ht="15.75">
      <c r="B273" s="95" t="s">
        <v>164</v>
      </c>
      <c r="C273" s="144" t="s">
        <v>28</v>
      </c>
      <c r="D273" s="97" t="s">
        <v>428</v>
      </c>
      <c r="E273" s="98" t="s">
        <v>429</v>
      </c>
      <c r="F273" s="99">
        <f>500000+25000</f>
        <v>525000</v>
      </c>
      <c r="G273" s="82"/>
      <c r="H273" s="76">
        <v>25000</v>
      </c>
    </row>
    <row r="274" spans="2:6" s="9" customFormat="1" ht="14.25">
      <c r="B274" s="244" t="s">
        <v>164</v>
      </c>
      <c r="C274" s="245" t="s">
        <v>117</v>
      </c>
      <c r="D274" s="97" t="s">
        <v>430</v>
      </c>
      <c r="E274" s="246" t="s">
        <v>431</v>
      </c>
      <c r="F274" s="99">
        <v>990000</v>
      </c>
    </row>
    <row r="275" spans="2:6" s="247" customFormat="1" ht="14.25">
      <c r="B275" s="248" t="s">
        <v>164</v>
      </c>
      <c r="C275" s="249" t="s">
        <v>425</v>
      </c>
      <c r="D275" s="123" t="s">
        <v>432</v>
      </c>
      <c r="E275" s="250" t="s">
        <v>433</v>
      </c>
      <c r="F275" s="125">
        <v>3974874</v>
      </c>
    </row>
    <row r="276" spans="2:6" s="247" customFormat="1" ht="14.25">
      <c r="B276" s="251" t="s">
        <v>164</v>
      </c>
      <c r="C276" s="252" t="s">
        <v>117</v>
      </c>
      <c r="D276" s="123" t="s">
        <v>434</v>
      </c>
      <c r="E276" s="253" t="s">
        <v>435</v>
      </c>
      <c r="F276" s="125">
        <v>610000</v>
      </c>
    </row>
    <row r="277" spans="2:7" s="40" customFormat="1" ht="15.75" hidden="1">
      <c r="B277" s="58"/>
      <c r="C277" s="59"/>
      <c r="D277" s="67">
        <v>92695</v>
      </c>
      <c r="E277" s="69" t="s">
        <v>153</v>
      </c>
      <c r="F277" s="68">
        <f>F278</f>
        <v>0</v>
      </c>
      <c r="G277" s="46"/>
    </row>
    <row r="278" spans="2:7" s="254" customFormat="1" ht="15.75" hidden="1">
      <c r="B278" s="30"/>
      <c r="C278" s="132"/>
      <c r="D278" s="255"/>
      <c r="E278" s="129" t="s">
        <v>136</v>
      </c>
      <c r="F278" s="130">
        <f>F279+F281+F280</f>
        <v>0</v>
      </c>
      <c r="G278" s="46"/>
    </row>
    <row r="279" spans="2:7" s="237" customFormat="1" ht="15.75" hidden="1">
      <c r="B279" s="30" t="s">
        <v>27</v>
      </c>
      <c r="C279" s="31" t="s">
        <v>117</v>
      </c>
      <c r="D279" s="73" t="s">
        <v>436</v>
      </c>
      <c r="E279" s="74" t="s">
        <v>105</v>
      </c>
      <c r="F279" s="75"/>
      <c r="G279" s="46"/>
    </row>
    <row r="280" spans="2:7" s="254" customFormat="1" ht="14.25" customHeight="1" hidden="1">
      <c r="B280" s="71" t="s">
        <v>27</v>
      </c>
      <c r="C280" s="72" t="s">
        <v>28</v>
      </c>
      <c r="D280" s="73" t="s">
        <v>106</v>
      </c>
      <c r="E280" s="74" t="s">
        <v>107</v>
      </c>
      <c r="F280" s="75"/>
      <c r="G280" s="46"/>
    </row>
    <row r="281" spans="2:7" s="254" customFormat="1" ht="14.25" customHeight="1" hidden="1">
      <c r="B281" s="256" t="s">
        <v>27</v>
      </c>
      <c r="C281" s="257" t="s">
        <v>117</v>
      </c>
      <c r="D281" s="258" t="s">
        <v>108</v>
      </c>
      <c r="E281" s="259" t="s">
        <v>109</v>
      </c>
      <c r="F281" s="260"/>
      <c r="G281" s="46"/>
    </row>
    <row r="282" spans="2:7" s="254" customFormat="1" ht="21" customHeight="1" hidden="1">
      <c r="B282" s="71"/>
      <c r="C282" s="72"/>
      <c r="D282" s="796" t="s">
        <v>169</v>
      </c>
      <c r="E282" s="796"/>
      <c r="F282" s="261">
        <f>F283</f>
        <v>0</v>
      </c>
      <c r="G282" s="46"/>
    </row>
    <row r="283" spans="2:7" s="254" customFormat="1" ht="14.25" customHeight="1" hidden="1">
      <c r="B283" s="71"/>
      <c r="C283" s="72"/>
      <c r="D283" s="67">
        <v>710</v>
      </c>
      <c r="E283" s="61" t="s">
        <v>526</v>
      </c>
      <c r="F283" s="68">
        <f>F284</f>
        <v>0</v>
      </c>
      <c r="G283" s="46"/>
    </row>
    <row r="284" spans="2:7" s="254" customFormat="1" ht="14.25" customHeight="1" hidden="1">
      <c r="B284" s="71"/>
      <c r="C284" s="72"/>
      <c r="D284" s="67">
        <v>71035</v>
      </c>
      <c r="E284" s="69" t="s">
        <v>170</v>
      </c>
      <c r="F284" s="68">
        <f>F285</f>
        <v>0</v>
      </c>
      <c r="G284" s="46"/>
    </row>
    <row r="285" spans="2:7" s="254" customFormat="1" ht="14.25" customHeight="1" hidden="1">
      <c r="B285" s="71" t="s">
        <v>27</v>
      </c>
      <c r="C285" s="72" t="s">
        <v>28</v>
      </c>
      <c r="D285" s="73" t="s">
        <v>171</v>
      </c>
      <c r="E285" s="102" t="s">
        <v>437</v>
      </c>
      <c r="F285" s="75"/>
      <c r="G285" s="46"/>
    </row>
    <row r="286" spans="2:9" s="262" customFormat="1" ht="15.75">
      <c r="B286" s="263"/>
      <c r="C286" s="263"/>
      <c r="D286" s="264" t="s">
        <v>438</v>
      </c>
      <c r="E286" s="265"/>
      <c r="F286" s="266">
        <f>F288+F363</f>
        <v>192099609</v>
      </c>
      <c r="G286" s="82"/>
      <c r="I286" s="267"/>
    </row>
    <row r="287" spans="2:7" s="76" customFormat="1" ht="14.25" customHeight="1">
      <c r="B287" s="83"/>
      <c r="C287" s="84"/>
      <c r="D287" s="268" t="s">
        <v>396</v>
      </c>
      <c r="E287" s="80"/>
      <c r="F287" s="269"/>
      <c r="G287" s="82"/>
    </row>
    <row r="288" spans="2:7" s="262" customFormat="1" ht="15.75">
      <c r="B288" s="270"/>
      <c r="C288" s="263"/>
      <c r="D288" s="271" t="s">
        <v>439</v>
      </c>
      <c r="E288" s="272"/>
      <c r="F288" s="273">
        <f>F289+F306+F316+F327+F333+F343+F346+F349</f>
        <v>191899609</v>
      </c>
      <c r="G288" s="82"/>
    </row>
    <row r="289" spans="2:7" s="76" customFormat="1" ht="15.75" customHeight="1">
      <c r="B289" s="77"/>
      <c r="C289" s="78"/>
      <c r="D289" s="79">
        <v>600</v>
      </c>
      <c r="E289" s="80" t="s">
        <v>31</v>
      </c>
      <c r="F289" s="81">
        <f>F290</f>
        <v>169200000</v>
      </c>
      <c r="G289" s="82"/>
    </row>
    <row r="290" spans="2:7" s="76" customFormat="1" ht="21" customHeight="1">
      <c r="B290" s="83"/>
      <c r="C290" s="84"/>
      <c r="D290" s="79">
        <v>60015</v>
      </c>
      <c r="E290" s="85" t="s">
        <v>440</v>
      </c>
      <c r="F290" s="81">
        <f>F291</f>
        <v>169200000</v>
      </c>
      <c r="G290" s="82"/>
    </row>
    <row r="291" spans="2:7" s="76" customFormat="1" ht="15.75">
      <c r="B291" s="111"/>
      <c r="C291" s="87"/>
      <c r="D291" s="158"/>
      <c r="E291" s="159" t="s">
        <v>53</v>
      </c>
      <c r="F291" s="274">
        <f>SUM(F292:F305)</f>
        <v>169200000</v>
      </c>
      <c r="G291" s="82"/>
    </row>
    <row r="292" spans="2:7" s="76" customFormat="1" ht="15.75">
      <c r="B292" s="95" t="s">
        <v>27</v>
      </c>
      <c r="C292" s="96" t="s">
        <v>28</v>
      </c>
      <c r="D292" s="97" t="s">
        <v>441</v>
      </c>
      <c r="E292" s="275" t="s">
        <v>442</v>
      </c>
      <c r="F292" s="99">
        <v>500000</v>
      </c>
      <c r="G292" s="82"/>
    </row>
    <row r="293" spans="2:7" s="76" customFormat="1" ht="15.75">
      <c r="B293" s="95" t="s">
        <v>27</v>
      </c>
      <c r="C293" s="96" t="s">
        <v>28</v>
      </c>
      <c r="D293" s="97" t="s">
        <v>443</v>
      </c>
      <c r="E293" s="98" t="s">
        <v>444</v>
      </c>
      <c r="F293" s="99">
        <v>3000000</v>
      </c>
      <c r="G293" s="82"/>
    </row>
    <row r="294" spans="2:7" s="76" customFormat="1" ht="15.75">
      <c r="B294" s="95" t="s">
        <v>27</v>
      </c>
      <c r="C294" s="96" t="s">
        <v>28</v>
      </c>
      <c r="D294" s="97" t="s">
        <v>445</v>
      </c>
      <c r="E294" s="98" t="s">
        <v>446</v>
      </c>
      <c r="F294" s="99">
        <v>500000</v>
      </c>
      <c r="G294" s="82"/>
    </row>
    <row r="295" spans="2:7" s="103" customFormat="1" ht="15.75" hidden="1">
      <c r="B295" s="104" t="s">
        <v>27</v>
      </c>
      <c r="C295" s="105" t="s">
        <v>28</v>
      </c>
      <c r="D295" s="276" t="s">
        <v>447</v>
      </c>
      <c r="E295" s="106" t="s">
        <v>448</v>
      </c>
      <c r="F295" s="107"/>
      <c r="G295" s="108"/>
    </row>
    <row r="296" spans="2:7" s="76" customFormat="1" ht="13.5" customHeight="1">
      <c r="B296" s="95" t="s">
        <v>27</v>
      </c>
      <c r="C296" s="96" t="s">
        <v>28</v>
      </c>
      <c r="D296" s="97" t="s">
        <v>449</v>
      </c>
      <c r="E296" s="98" t="s">
        <v>450</v>
      </c>
      <c r="F296" s="99">
        <v>2000000</v>
      </c>
      <c r="G296" s="82"/>
    </row>
    <row r="297" spans="2:7" s="76" customFormat="1" ht="15.75">
      <c r="B297" s="95" t="s">
        <v>27</v>
      </c>
      <c r="C297" s="96" t="s">
        <v>28</v>
      </c>
      <c r="D297" s="97" t="s">
        <v>451</v>
      </c>
      <c r="E297" s="98" t="s">
        <v>452</v>
      </c>
      <c r="F297" s="99">
        <v>500000</v>
      </c>
      <c r="G297" s="82"/>
    </row>
    <row r="298" spans="2:7" s="76" customFormat="1" ht="15.75">
      <c r="B298" s="95" t="s">
        <v>27</v>
      </c>
      <c r="C298" s="96" t="s">
        <v>28</v>
      </c>
      <c r="D298" s="97" t="s">
        <v>453</v>
      </c>
      <c r="E298" s="98" t="s">
        <v>454</v>
      </c>
      <c r="F298" s="99">
        <v>500000</v>
      </c>
      <c r="G298" s="82"/>
    </row>
    <row r="299" spans="2:7" s="76" customFormat="1" ht="15.75">
      <c r="B299" s="95" t="s">
        <v>104</v>
      </c>
      <c r="C299" s="144" t="s">
        <v>28</v>
      </c>
      <c r="D299" s="97" t="s">
        <v>455</v>
      </c>
      <c r="E299" s="98" t="s">
        <v>456</v>
      </c>
      <c r="F299" s="99">
        <v>200000</v>
      </c>
      <c r="G299" s="82"/>
    </row>
    <row r="300" spans="2:7" s="76" customFormat="1" ht="14.25" customHeight="1">
      <c r="B300" s="95" t="s">
        <v>27</v>
      </c>
      <c r="C300" s="96" t="s">
        <v>117</v>
      </c>
      <c r="D300" s="97" t="s">
        <v>457</v>
      </c>
      <c r="E300" s="98" t="s">
        <v>458</v>
      </c>
      <c r="F300" s="99">
        <v>2500000</v>
      </c>
      <c r="G300" s="82"/>
    </row>
    <row r="301" spans="2:7" s="40" customFormat="1" ht="15.75" hidden="1">
      <c r="B301" s="277" t="s">
        <v>27</v>
      </c>
      <c r="C301" s="278" t="s">
        <v>28</v>
      </c>
      <c r="D301" s="73" t="s">
        <v>459</v>
      </c>
      <c r="E301" s="74" t="s">
        <v>460</v>
      </c>
      <c r="F301" s="75"/>
      <c r="G301" s="46"/>
    </row>
    <row r="302" spans="2:7" s="76" customFormat="1" ht="15.75">
      <c r="B302" s="95" t="s">
        <v>27</v>
      </c>
      <c r="C302" s="96" t="s">
        <v>28</v>
      </c>
      <c r="D302" s="97" t="s">
        <v>461</v>
      </c>
      <c r="E302" s="98" t="s">
        <v>462</v>
      </c>
      <c r="F302" s="99">
        <v>29500000</v>
      </c>
      <c r="G302" s="82"/>
    </row>
    <row r="303" spans="2:7" s="76" customFormat="1" ht="15.75">
      <c r="B303" s="95" t="s">
        <v>27</v>
      </c>
      <c r="C303" s="96" t="s">
        <v>28</v>
      </c>
      <c r="D303" s="97" t="s">
        <v>463</v>
      </c>
      <c r="E303" s="100" t="s">
        <v>464</v>
      </c>
      <c r="F303" s="99">
        <v>60000000</v>
      </c>
      <c r="G303" s="82" t="s">
        <v>103</v>
      </c>
    </row>
    <row r="304" spans="2:7" s="76" customFormat="1" ht="20.25" customHeight="1">
      <c r="B304" s="95" t="s">
        <v>27</v>
      </c>
      <c r="C304" s="96" t="s">
        <v>28</v>
      </c>
      <c r="D304" s="97" t="s">
        <v>465</v>
      </c>
      <c r="E304" s="100" t="s">
        <v>466</v>
      </c>
      <c r="F304" s="99">
        <v>20000000</v>
      </c>
      <c r="G304" s="82"/>
    </row>
    <row r="305" spans="2:7" s="94" customFormat="1" ht="15.75">
      <c r="B305" s="208" t="s">
        <v>27</v>
      </c>
      <c r="C305" s="209" t="s">
        <v>28</v>
      </c>
      <c r="D305" s="97" t="s">
        <v>467</v>
      </c>
      <c r="E305" s="98" t="s">
        <v>468</v>
      </c>
      <c r="F305" s="99">
        <v>50000000</v>
      </c>
      <c r="G305" s="101"/>
    </row>
    <row r="306" spans="2:7" s="76" customFormat="1" ht="15.75" customHeight="1">
      <c r="B306" s="77"/>
      <c r="C306" s="78"/>
      <c r="D306" s="79">
        <v>754</v>
      </c>
      <c r="E306" s="80" t="s">
        <v>319</v>
      </c>
      <c r="F306" s="81">
        <f>F307+F309+F311+F314</f>
        <v>1335789</v>
      </c>
      <c r="G306" s="82"/>
    </row>
    <row r="307" spans="2:7" s="76" customFormat="1" ht="15.75">
      <c r="B307" s="83"/>
      <c r="C307" s="84"/>
      <c r="D307" s="79">
        <v>75404</v>
      </c>
      <c r="E307" s="85" t="s">
        <v>469</v>
      </c>
      <c r="F307" s="81">
        <f>F308</f>
        <v>385789</v>
      </c>
      <c r="G307" s="82"/>
    </row>
    <row r="308" spans="2:8" s="76" customFormat="1" ht="15.75">
      <c r="B308" s="95" t="s">
        <v>470</v>
      </c>
      <c r="C308" s="144" t="s">
        <v>425</v>
      </c>
      <c r="D308" s="205" t="s">
        <v>471</v>
      </c>
      <c r="E308" s="206" t="s">
        <v>472</v>
      </c>
      <c r="F308" s="279">
        <f>300000+85789</f>
        <v>385789</v>
      </c>
      <c r="G308" s="82"/>
      <c r="H308" s="76">
        <v>85789</v>
      </c>
    </row>
    <row r="309" spans="2:7" s="76" customFormat="1" ht="15.75">
      <c r="B309" s="83"/>
      <c r="C309" s="84"/>
      <c r="D309" s="79">
        <v>75410</v>
      </c>
      <c r="E309" s="85" t="s">
        <v>473</v>
      </c>
      <c r="F309" s="81">
        <f>F310</f>
        <v>300000</v>
      </c>
      <c r="G309" s="82"/>
    </row>
    <row r="310" spans="2:7" s="76" customFormat="1" ht="15.75">
      <c r="B310" s="95" t="s">
        <v>470</v>
      </c>
      <c r="C310" s="144" t="s">
        <v>425</v>
      </c>
      <c r="D310" s="205" t="s">
        <v>474</v>
      </c>
      <c r="E310" s="206" t="s">
        <v>475</v>
      </c>
      <c r="F310" s="279">
        <v>300000</v>
      </c>
      <c r="G310" s="82"/>
    </row>
    <row r="311" spans="2:7" s="40" customFormat="1" ht="15" customHeight="1" hidden="1">
      <c r="B311" s="58"/>
      <c r="C311" s="59"/>
      <c r="D311" s="67">
        <v>75411</v>
      </c>
      <c r="E311" s="69" t="s">
        <v>476</v>
      </c>
      <c r="F311" s="68">
        <f>F313+F312</f>
        <v>0</v>
      </c>
      <c r="G311" s="46"/>
    </row>
    <row r="312" spans="2:7" s="40" customFormat="1" ht="14.25" customHeight="1" hidden="1">
      <c r="B312" s="71" t="s">
        <v>104</v>
      </c>
      <c r="C312" s="188" t="s">
        <v>28</v>
      </c>
      <c r="D312" s="280" t="s">
        <v>477</v>
      </c>
      <c r="E312" s="281" t="s">
        <v>478</v>
      </c>
      <c r="F312" s="75"/>
      <c r="G312" s="46"/>
    </row>
    <row r="313" spans="2:7" s="40" customFormat="1" ht="25.5" customHeight="1" hidden="1">
      <c r="B313" s="71" t="s">
        <v>27</v>
      </c>
      <c r="C313" s="72" t="s">
        <v>28</v>
      </c>
      <c r="D313" s="73" t="s">
        <v>479</v>
      </c>
      <c r="E313" s="74" t="s">
        <v>208</v>
      </c>
      <c r="F313" s="75"/>
      <c r="G313" s="46"/>
    </row>
    <row r="314" spans="2:7" s="76" customFormat="1" ht="15.75">
      <c r="B314" s="83"/>
      <c r="C314" s="84"/>
      <c r="D314" s="79">
        <v>75414</v>
      </c>
      <c r="E314" s="85" t="s">
        <v>209</v>
      </c>
      <c r="F314" s="81">
        <f>F315</f>
        <v>650000</v>
      </c>
      <c r="G314" s="82"/>
    </row>
    <row r="315" spans="2:7" s="76" customFormat="1" ht="21" customHeight="1">
      <c r="B315" s="95" t="s">
        <v>27</v>
      </c>
      <c r="C315" s="96" t="s">
        <v>28</v>
      </c>
      <c r="D315" s="205" t="s">
        <v>210</v>
      </c>
      <c r="E315" s="282" t="s">
        <v>211</v>
      </c>
      <c r="F315" s="99">
        <v>650000</v>
      </c>
      <c r="G315" s="82"/>
    </row>
    <row r="316" spans="2:7" s="76" customFormat="1" ht="15.75" customHeight="1">
      <c r="B316" s="77"/>
      <c r="C316" s="78"/>
      <c r="D316" s="79">
        <v>801</v>
      </c>
      <c r="E316" s="80" t="s">
        <v>259</v>
      </c>
      <c r="F316" s="81">
        <f>F317+F320+F323</f>
        <v>5895000</v>
      </c>
      <c r="G316" s="82"/>
    </row>
    <row r="317" spans="2:7" s="40" customFormat="1" ht="15.75" hidden="1">
      <c r="B317" s="58"/>
      <c r="C317" s="59"/>
      <c r="D317" s="67">
        <v>80102</v>
      </c>
      <c r="E317" s="69" t="s">
        <v>212</v>
      </c>
      <c r="F317" s="68">
        <f>F318+F319</f>
        <v>0</v>
      </c>
      <c r="G317" s="46"/>
    </row>
    <row r="318" spans="2:7" s="180" customFormat="1" ht="15.75" hidden="1">
      <c r="B318" s="283" t="s">
        <v>27</v>
      </c>
      <c r="C318" s="284" t="s">
        <v>117</v>
      </c>
      <c r="D318" s="280" t="s">
        <v>213</v>
      </c>
      <c r="E318" s="281" t="s">
        <v>214</v>
      </c>
      <c r="F318" s="285"/>
      <c r="G318" s="46"/>
    </row>
    <row r="319" spans="2:7" s="40" customFormat="1" ht="15.75" hidden="1">
      <c r="B319" s="71" t="s">
        <v>27</v>
      </c>
      <c r="C319" s="72" t="s">
        <v>117</v>
      </c>
      <c r="D319" s="164" t="s">
        <v>215</v>
      </c>
      <c r="E319" s="165" t="s">
        <v>216</v>
      </c>
      <c r="F319" s="166"/>
      <c r="G319" s="46"/>
    </row>
    <row r="320" spans="2:7" s="76" customFormat="1" ht="15.75">
      <c r="B320" s="83"/>
      <c r="C320" s="84"/>
      <c r="D320" s="152">
        <v>80120</v>
      </c>
      <c r="E320" s="155" t="s">
        <v>217</v>
      </c>
      <c r="F320" s="154">
        <f>SUM(F321:F322)</f>
        <v>5895000</v>
      </c>
      <c r="G320" s="82"/>
    </row>
    <row r="321" spans="2:7" s="76" customFormat="1" ht="14.25" customHeight="1">
      <c r="B321" s="95" t="s">
        <v>27</v>
      </c>
      <c r="C321" s="96" t="s">
        <v>28</v>
      </c>
      <c r="D321" s="175" t="s">
        <v>218</v>
      </c>
      <c r="E321" s="168" t="s">
        <v>219</v>
      </c>
      <c r="F321" s="99">
        <v>95000</v>
      </c>
      <c r="G321" s="82"/>
    </row>
    <row r="322" spans="2:7" s="76" customFormat="1" ht="22.5">
      <c r="B322" s="95" t="s">
        <v>27</v>
      </c>
      <c r="C322" s="96" t="s">
        <v>28</v>
      </c>
      <c r="D322" s="97" t="s">
        <v>220</v>
      </c>
      <c r="E322" s="100" t="s">
        <v>221</v>
      </c>
      <c r="F322" s="99">
        <v>5800000</v>
      </c>
      <c r="G322" s="82"/>
    </row>
    <row r="323" spans="2:7" s="40" customFormat="1" ht="15.75" hidden="1">
      <c r="B323" s="58"/>
      <c r="C323" s="59"/>
      <c r="D323" s="67">
        <v>80130</v>
      </c>
      <c r="E323" s="69" t="s">
        <v>222</v>
      </c>
      <c r="F323" s="68">
        <f>F324+F325+F326</f>
        <v>0</v>
      </c>
      <c r="G323" s="46"/>
    </row>
    <row r="324" spans="2:7" s="40" customFormat="1" ht="14.25" customHeight="1" hidden="1">
      <c r="B324" s="71" t="s">
        <v>27</v>
      </c>
      <c r="C324" s="72" t="s">
        <v>28</v>
      </c>
      <c r="D324" s="73" t="s">
        <v>223</v>
      </c>
      <c r="E324" s="74" t="s">
        <v>224</v>
      </c>
      <c r="F324" s="75"/>
      <c r="G324" s="46"/>
    </row>
    <row r="325" spans="2:7" s="40" customFormat="1" ht="14.25" customHeight="1" hidden="1">
      <c r="B325" s="71" t="s">
        <v>104</v>
      </c>
      <c r="C325" s="188"/>
      <c r="D325" s="73" t="s">
        <v>225</v>
      </c>
      <c r="E325" s="74" t="s">
        <v>480</v>
      </c>
      <c r="F325" s="75"/>
      <c r="G325" s="46"/>
    </row>
    <row r="326" spans="2:7" s="40" customFormat="1" ht="15.75" hidden="1">
      <c r="B326" s="71" t="s">
        <v>27</v>
      </c>
      <c r="C326" s="72" t="s">
        <v>117</v>
      </c>
      <c r="D326" s="164" t="s">
        <v>481</v>
      </c>
      <c r="E326" s="165" t="s">
        <v>482</v>
      </c>
      <c r="F326" s="166"/>
      <c r="G326" s="46"/>
    </row>
    <row r="327" spans="2:7" s="76" customFormat="1" ht="14.25" customHeight="1">
      <c r="B327" s="77"/>
      <c r="C327" s="78"/>
      <c r="D327" s="79">
        <v>851</v>
      </c>
      <c r="E327" s="80" t="s">
        <v>557</v>
      </c>
      <c r="F327" s="81">
        <f>F328</f>
        <v>3346036</v>
      </c>
      <c r="G327" s="82"/>
    </row>
    <row r="328" spans="2:7" s="76" customFormat="1" ht="14.25" customHeight="1">
      <c r="B328" s="83"/>
      <c r="C328" s="84"/>
      <c r="D328" s="79">
        <v>85117</v>
      </c>
      <c r="E328" s="85" t="s">
        <v>483</v>
      </c>
      <c r="F328" s="81">
        <f>F329+F330+F331+F332</f>
        <v>3346036</v>
      </c>
      <c r="G328" s="82"/>
    </row>
    <row r="329" spans="2:8" s="109" customFormat="1" ht="17.25" customHeight="1">
      <c r="B329" s="286" t="s">
        <v>559</v>
      </c>
      <c r="C329" s="287" t="s">
        <v>353</v>
      </c>
      <c r="D329" s="175" t="s">
        <v>484</v>
      </c>
      <c r="E329" s="187" t="s">
        <v>485</v>
      </c>
      <c r="F329" s="169">
        <v>150000</v>
      </c>
      <c r="G329" s="82"/>
      <c r="H329" s="94"/>
    </row>
    <row r="330" spans="2:8" s="180" customFormat="1" ht="28.5" customHeight="1">
      <c r="B330" s="288" t="s">
        <v>559</v>
      </c>
      <c r="C330" s="289" t="s">
        <v>117</v>
      </c>
      <c r="D330" s="97" t="s">
        <v>486</v>
      </c>
      <c r="E330" s="98" t="s">
        <v>487</v>
      </c>
      <c r="F330" s="99">
        <v>200000</v>
      </c>
      <c r="G330" s="46"/>
      <c r="H330" s="70"/>
    </row>
    <row r="331" spans="2:8" s="109" customFormat="1" ht="32.25" customHeight="1">
      <c r="B331" s="208" t="s">
        <v>559</v>
      </c>
      <c r="C331" s="209" t="s">
        <v>28</v>
      </c>
      <c r="D331" s="97" t="s">
        <v>488</v>
      </c>
      <c r="E331" s="100" t="s">
        <v>489</v>
      </c>
      <c r="F331" s="99">
        <v>2966036</v>
      </c>
      <c r="G331" s="82"/>
      <c r="H331" s="94"/>
    </row>
    <row r="332" spans="2:8" s="109" customFormat="1" ht="20.25" customHeight="1">
      <c r="B332" s="208" t="s">
        <v>559</v>
      </c>
      <c r="C332" s="209" t="s">
        <v>205</v>
      </c>
      <c r="D332" s="147" t="s">
        <v>490</v>
      </c>
      <c r="E332" s="290" t="s">
        <v>491</v>
      </c>
      <c r="F332" s="149">
        <v>30000</v>
      </c>
      <c r="G332" s="82"/>
      <c r="H332" s="94">
        <v>30000</v>
      </c>
    </row>
    <row r="333" spans="2:7" s="76" customFormat="1" ht="15.75" customHeight="1">
      <c r="B333" s="150"/>
      <c r="C333" s="151"/>
      <c r="D333" s="152">
        <v>852</v>
      </c>
      <c r="E333" s="153" t="s">
        <v>593</v>
      </c>
      <c r="F333" s="154">
        <f>F334+F337+F341</f>
        <v>10596500</v>
      </c>
      <c r="G333" s="82"/>
    </row>
    <row r="334" spans="2:7" s="76" customFormat="1" ht="15.75">
      <c r="B334" s="83"/>
      <c r="C334" s="84"/>
      <c r="D334" s="79">
        <v>85201</v>
      </c>
      <c r="E334" s="85" t="s">
        <v>174</v>
      </c>
      <c r="F334" s="81">
        <f>F335+F336</f>
        <v>7250000</v>
      </c>
      <c r="G334" s="82"/>
    </row>
    <row r="335" spans="2:7" s="76" customFormat="1" ht="15.75">
      <c r="B335" s="95" t="s">
        <v>27</v>
      </c>
      <c r="C335" s="96" t="s">
        <v>28</v>
      </c>
      <c r="D335" s="97" t="s">
        <v>175</v>
      </c>
      <c r="E335" s="98" t="s">
        <v>176</v>
      </c>
      <c r="F335" s="99">
        <v>250000</v>
      </c>
      <c r="G335" s="82"/>
    </row>
    <row r="336" spans="2:9" s="109" customFormat="1" ht="15.75">
      <c r="B336" s="208" t="s">
        <v>27</v>
      </c>
      <c r="C336" s="209" t="s">
        <v>28</v>
      </c>
      <c r="D336" s="147" t="s">
        <v>177</v>
      </c>
      <c r="E336" s="148" t="s">
        <v>178</v>
      </c>
      <c r="F336" s="149">
        <v>7000000</v>
      </c>
      <c r="G336" s="82"/>
      <c r="H336" s="160">
        <f>SUM(H28:H335)</f>
        <v>8117972</v>
      </c>
      <c r="I336" s="109" t="s">
        <v>15</v>
      </c>
    </row>
    <row r="337" spans="2:7" s="76" customFormat="1" ht="18.75" customHeight="1">
      <c r="B337" s="208"/>
      <c r="C337" s="209"/>
      <c r="D337" s="152">
        <v>85202</v>
      </c>
      <c r="E337" s="155" t="s">
        <v>179</v>
      </c>
      <c r="F337" s="154">
        <f>F338+F339+F340</f>
        <v>3346500</v>
      </c>
      <c r="G337" s="82"/>
    </row>
    <row r="338" spans="2:7" s="76" customFormat="1" ht="21" customHeight="1">
      <c r="B338" s="208" t="s">
        <v>27</v>
      </c>
      <c r="C338" s="289" t="s">
        <v>117</v>
      </c>
      <c r="D338" s="175" t="s">
        <v>180</v>
      </c>
      <c r="E338" s="291" t="s">
        <v>181</v>
      </c>
      <c r="F338" s="169">
        <v>800000</v>
      </c>
      <c r="G338" s="82"/>
    </row>
    <row r="339" spans="2:7" s="76" customFormat="1" ht="21" customHeight="1">
      <c r="B339" s="208" t="s">
        <v>27</v>
      </c>
      <c r="C339" s="209" t="s">
        <v>117</v>
      </c>
      <c r="D339" s="97" t="s">
        <v>182</v>
      </c>
      <c r="E339" s="292" t="s">
        <v>183</v>
      </c>
      <c r="F339" s="99">
        <v>138500</v>
      </c>
      <c r="G339" s="82"/>
    </row>
    <row r="340" spans="2:7" s="293" customFormat="1" ht="15.75">
      <c r="B340" s="71"/>
      <c r="C340" s="188"/>
      <c r="D340" s="147" t="s">
        <v>184</v>
      </c>
      <c r="E340" s="148" t="s">
        <v>185</v>
      </c>
      <c r="F340" s="149">
        <v>2408000</v>
      </c>
      <c r="G340" s="46"/>
    </row>
    <row r="341" spans="2:7" s="40" customFormat="1" ht="20.25" customHeight="1" hidden="1">
      <c r="B341" s="127"/>
      <c r="C341" s="128"/>
      <c r="D341" s="67">
        <v>85220</v>
      </c>
      <c r="E341" s="69" t="s">
        <v>186</v>
      </c>
      <c r="F341" s="68">
        <f>F342</f>
        <v>0</v>
      </c>
      <c r="G341" s="46"/>
    </row>
    <row r="342" spans="2:7" s="40" customFormat="1" ht="21" customHeight="1" hidden="1">
      <c r="B342" s="127" t="s">
        <v>27</v>
      </c>
      <c r="C342" s="278" t="s">
        <v>117</v>
      </c>
      <c r="D342" s="164" t="s">
        <v>187</v>
      </c>
      <c r="E342" s="239" t="s">
        <v>188</v>
      </c>
      <c r="F342" s="166"/>
      <c r="G342" s="46"/>
    </row>
    <row r="343" spans="2:7" s="294" customFormat="1" ht="15.75" customHeight="1">
      <c r="B343" s="77"/>
      <c r="C343" s="78"/>
      <c r="D343" s="79">
        <v>853</v>
      </c>
      <c r="E343" s="80" t="s">
        <v>189</v>
      </c>
      <c r="F343" s="81">
        <f>F344</f>
        <v>56284</v>
      </c>
      <c r="G343" s="82"/>
    </row>
    <row r="344" spans="2:7" s="294" customFormat="1" ht="15.75">
      <c r="B344" s="83"/>
      <c r="C344" s="84"/>
      <c r="D344" s="79">
        <v>85333</v>
      </c>
      <c r="E344" s="85" t="s">
        <v>190</v>
      </c>
      <c r="F344" s="81">
        <f>F345</f>
        <v>56284</v>
      </c>
      <c r="G344" s="82"/>
    </row>
    <row r="345" spans="2:7" s="76" customFormat="1" ht="15.75">
      <c r="B345" s="286" t="s">
        <v>191</v>
      </c>
      <c r="C345" s="295"/>
      <c r="D345" s="205" t="s">
        <v>192</v>
      </c>
      <c r="E345" s="206" t="s">
        <v>493</v>
      </c>
      <c r="F345" s="279">
        <v>56284</v>
      </c>
      <c r="G345" s="82"/>
    </row>
    <row r="346" spans="2:7" s="40" customFormat="1" ht="15.75" customHeight="1" hidden="1">
      <c r="B346" s="65"/>
      <c r="C346" s="66"/>
      <c r="D346" s="67">
        <v>854</v>
      </c>
      <c r="E346" s="61" t="s">
        <v>494</v>
      </c>
      <c r="F346" s="68">
        <f>F347</f>
        <v>0</v>
      </c>
      <c r="G346" s="46"/>
    </row>
    <row r="347" spans="2:7" s="40" customFormat="1" ht="15.75" hidden="1">
      <c r="B347" s="58"/>
      <c r="C347" s="59"/>
      <c r="D347" s="67">
        <v>85407</v>
      </c>
      <c r="E347" s="69" t="s">
        <v>495</v>
      </c>
      <c r="F347" s="68">
        <f>F348</f>
        <v>0</v>
      </c>
      <c r="G347" s="46"/>
    </row>
    <row r="348" spans="2:7" s="40" customFormat="1" ht="15.75" hidden="1">
      <c r="B348" s="296" t="s">
        <v>104</v>
      </c>
      <c r="C348" s="217" t="s">
        <v>117</v>
      </c>
      <c r="D348" s="182" t="s">
        <v>496</v>
      </c>
      <c r="E348" s="297" t="s">
        <v>497</v>
      </c>
      <c r="F348" s="219"/>
      <c r="G348" s="46"/>
    </row>
    <row r="349" spans="2:7" s="76" customFormat="1" ht="15.75" customHeight="1">
      <c r="B349" s="77"/>
      <c r="C349" s="151"/>
      <c r="D349" s="152">
        <v>921</v>
      </c>
      <c r="E349" s="153" t="s">
        <v>72</v>
      </c>
      <c r="F349" s="81">
        <f>F350+F358+F360</f>
        <v>1470000</v>
      </c>
      <c r="G349" s="82"/>
    </row>
    <row r="350" spans="2:7" s="76" customFormat="1" ht="15.75">
      <c r="B350" s="83"/>
      <c r="C350" s="84"/>
      <c r="D350" s="79">
        <v>92106</v>
      </c>
      <c r="E350" s="85" t="s">
        <v>498</v>
      </c>
      <c r="F350" s="81">
        <f>F351+F352+F353+F354</f>
        <v>1370000</v>
      </c>
      <c r="G350" s="82"/>
    </row>
    <row r="351" spans="2:7" s="76" customFormat="1" ht="15.75">
      <c r="B351" s="95" t="s">
        <v>559</v>
      </c>
      <c r="C351" s="144" t="s">
        <v>28</v>
      </c>
      <c r="D351" s="97" t="s">
        <v>499</v>
      </c>
      <c r="E351" s="98" t="s">
        <v>500</v>
      </c>
      <c r="F351" s="99">
        <v>200000</v>
      </c>
      <c r="G351" s="82"/>
    </row>
    <row r="352" spans="2:7" s="109" customFormat="1" ht="15.75">
      <c r="B352" s="298" t="s">
        <v>559</v>
      </c>
      <c r="C352" s="299" t="s">
        <v>28</v>
      </c>
      <c r="D352" s="97" t="s">
        <v>501</v>
      </c>
      <c r="E352" s="98" t="s">
        <v>502</v>
      </c>
      <c r="F352" s="99">
        <v>30000</v>
      </c>
      <c r="G352" s="82"/>
    </row>
    <row r="353" spans="2:7" s="76" customFormat="1" ht="15.75">
      <c r="B353" s="95" t="s">
        <v>559</v>
      </c>
      <c r="C353" s="144" t="s">
        <v>28</v>
      </c>
      <c r="D353" s="97" t="s">
        <v>503</v>
      </c>
      <c r="E353" s="98" t="s">
        <v>504</v>
      </c>
      <c r="F353" s="99">
        <v>290000</v>
      </c>
      <c r="G353" s="82"/>
    </row>
    <row r="354" spans="2:7" s="76" customFormat="1" ht="15.75">
      <c r="B354" s="95"/>
      <c r="C354" s="144"/>
      <c r="D354" s="97"/>
      <c r="E354" s="89" t="s">
        <v>505</v>
      </c>
      <c r="F354" s="112">
        <f>F355+F356+F357</f>
        <v>850000</v>
      </c>
      <c r="G354" s="82"/>
    </row>
    <row r="355" spans="2:7" s="76" customFormat="1" ht="15.75">
      <c r="B355" s="95" t="s">
        <v>559</v>
      </c>
      <c r="C355" s="144" t="s">
        <v>28</v>
      </c>
      <c r="D355" s="97" t="s">
        <v>506</v>
      </c>
      <c r="E355" s="98" t="s">
        <v>507</v>
      </c>
      <c r="F355" s="99">
        <v>250000</v>
      </c>
      <c r="G355" s="82"/>
    </row>
    <row r="356" spans="2:7" s="76" customFormat="1" ht="15.75">
      <c r="B356" s="95" t="s">
        <v>559</v>
      </c>
      <c r="C356" s="144" t="s">
        <v>28</v>
      </c>
      <c r="D356" s="97" t="s">
        <v>508</v>
      </c>
      <c r="E356" s="98" t="s">
        <v>509</v>
      </c>
      <c r="F356" s="99">
        <v>300000</v>
      </c>
      <c r="G356" s="82"/>
    </row>
    <row r="357" spans="2:7" s="76" customFormat="1" ht="15.75">
      <c r="B357" s="95" t="s">
        <v>559</v>
      </c>
      <c r="C357" s="144" t="s">
        <v>523</v>
      </c>
      <c r="D357" s="97" t="s">
        <v>510</v>
      </c>
      <c r="E357" s="98" t="s">
        <v>511</v>
      </c>
      <c r="F357" s="99">
        <v>300000</v>
      </c>
      <c r="G357" s="82"/>
    </row>
    <row r="358" spans="2:7" s="76" customFormat="1" ht="15.75">
      <c r="B358" s="83"/>
      <c r="C358" s="173"/>
      <c r="D358" s="79">
        <v>92113</v>
      </c>
      <c r="E358" s="85" t="s">
        <v>604</v>
      </c>
      <c r="F358" s="81">
        <f>F359</f>
        <v>100000</v>
      </c>
      <c r="G358" s="82"/>
    </row>
    <row r="359" spans="2:7" s="138" customFormat="1" ht="15.75">
      <c r="B359" s="95" t="s">
        <v>559</v>
      </c>
      <c r="C359" s="144"/>
      <c r="D359" s="147" t="s">
        <v>512</v>
      </c>
      <c r="E359" s="148" t="s">
        <v>513</v>
      </c>
      <c r="F359" s="99">
        <v>100000</v>
      </c>
      <c r="G359" s="82"/>
    </row>
    <row r="360" spans="2:7" s="237" customFormat="1" ht="12" customHeight="1" hidden="1">
      <c r="B360" s="58"/>
      <c r="C360" s="216"/>
      <c r="D360" s="221">
        <v>92114</v>
      </c>
      <c r="E360" s="300" t="s">
        <v>79</v>
      </c>
      <c r="F360" s="68">
        <f>F361</f>
        <v>0</v>
      </c>
      <c r="G360" s="46"/>
    </row>
    <row r="361" spans="2:7" s="237" customFormat="1" ht="12" customHeight="1" hidden="1">
      <c r="B361" s="30"/>
      <c r="C361" s="132"/>
      <c r="D361" s="73"/>
      <c r="E361" s="129" t="s">
        <v>514</v>
      </c>
      <c r="F361" s="130">
        <f>F362</f>
        <v>0</v>
      </c>
      <c r="G361" s="46"/>
    </row>
    <row r="362" spans="2:7" s="237" customFormat="1" ht="33" customHeight="1" hidden="1">
      <c r="B362" s="71" t="s">
        <v>559</v>
      </c>
      <c r="C362" s="188"/>
      <c r="D362" s="73" t="s">
        <v>515</v>
      </c>
      <c r="E362" s="74" t="s">
        <v>516</v>
      </c>
      <c r="F362" s="75"/>
      <c r="G362" s="46"/>
    </row>
    <row r="363" spans="2:7" s="294" customFormat="1" ht="39" customHeight="1">
      <c r="B363" s="301"/>
      <c r="C363" s="302"/>
      <c r="D363" s="797" t="s">
        <v>517</v>
      </c>
      <c r="E363" s="797"/>
      <c r="F363" s="303">
        <f>+F364+F370</f>
        <v>200000</v>
      </c>
      <c r="G363" s="82"/>
    </row>
    <row r="364" spans="2:7" s="76" customFormat="1" ht="15.75" customHeight="1">
      <c r="B364" s="77"/>
      <c r="C364" s="151"/>
      <c r="D364" s="152">
        <v>754</v>
      </c>
      <c r="E364" s="80" t="s">
        <v>319</v>
      </c>
      <c r="F364" s="81">
        <f>F365+F368</f>
        <v>200000</v>
      </c>
      <c r="G364" s="82"/>
    </row>
    <row r="365" spans="2:7" s="76" customFormat="1" ht="15.75">
      <c r="B365" s="83"/>
      <c r="C365" s="84"/>
      <c r="D365" s="79">
        <v>75411</v>
      </c>
      <c r="E365" s="85" t="s">
        <v>476</v>
      </c>
      <c r="F365" s="81">
        <f>F366</f>
        <v>200000</v>
      </c>
      <c r="G365" s="82"/>
    </row>
    <row r="366" spans="2:7" s="304" customFormat="1" ht="18" customHeight="1">
      <c r="B366" s="95" t="s">
        <v>27</v>
      </c>
      <c r="C366" s="96" t="s">
        <v>28</v>
      </c>
      <c r="D366" s="97" t="s">
        <v>518</v>
      </c>
      <c r="E366" s="305" t="s">
        <v>519</v>
      </c>
      <c r="F366" s="99">
        <v>200000</v>
      </c>
      <c r="G366" s="82"/>
    </row>
    <row r="367" spans="2:7" s="306" customFormat="1" ht="18" customHeight="1" hidden="1">
      <c r="B367" s="71" t="s">
        <v>104</v>
      </c>
      <c r="C367" s="72" t="s">
        <v>117</v>
      </c>
      <c r="D367" s="164" t="s">
        <v>520</v>
      </c>
      <c r="E367" s="307" t="s">
        <v>256</v>
      </c>
      <c r="F367" s="75"/>
      <c r="G367" s="46"/>
    </row>
    <row r="368" spans="2:7" s="306" customFormat="1" ht="18.75" customHeight="1" hidden="1">
      <c r="B368" s="71"/>
      <c r="C368" s="72"/>
      <c r="D368" s="67">
        <v>75478</v>
      </c>
      <c r="E368" s="308" t="s">
        <v>257</v>
      </c>
      <c r="F368" s="309">
        <f>F369</f>
        <v>0</v>
      </c>
      <c r="G368" s="46"/>
    </row>
    <row r="369" spans="2:7" s="306" customFormat="1" ht="18" customHeight="1" hidden="1">
      <c r="B369" s="71" t="s">
        <v>104</v>
      </c>
      <c r="C369" s="72" t="s">
        <v>117</v>
      </c>
      <c r="D369" s="182" t="s">
        <v>520</v>
      </c>
      <c r="E369" s="310" t="s">
        <v>256</v>
      </c>
      <c r="F369" s="219"/>
      <c r="G369" s="46"/>
    </row>
    <row r="370" spans="2:7" s="40" customFormat="1" ht="14.25" customHeight="1" hidden="1">
      <c r="B370" s="162"/>
      <c r="C370" s="163"/>
      <c r="D370" s="311">
        <v>852</v>
      </c>
      <c r="E370" s="312" t="s">
        <v>593</v>
      </c>
      <c r="F370" s="313">
        <f>F371</f>
        <v>0</v>
      </c>
      <c r="G370" s="46"/>
    </row>
    <row r="371" spans="2:7" s="40" customFormat="1" ht="14.25" customHeight="1" hidden="1">
      <c r="B371" s="58"/>
      <c r="C371" s="59"/>
      <c r="D371" s="314">
        <v>85203</v>
      </c>
      <c r="E371" s="315" t="s">
        <v>594</v>
      </c>
      <c r="F371" s="316">
        <f>F372</f>
        <v>0</v>
      </c>
      <c r="G371" s="46"/>
    </row>
    <row r="372" spans="2:7" s="306" customFormat="1" ht="18" customHeight="1" hidden="1">
      <c r="B372" s="256" t="s">
        <v>321</v>
      </c>
      <c r="C372" s="317" t="s">
        <v>28</v>
      </c>
      <c r="D372" s="318" t="s">
        <v>172</v>
      </c>
      <c r="E372" s="319" t="s">
        <v>173</v>
      </c>
      <c r="F372" s="320"/>
      <c r="G372" s="46"/>
    </row>
    <row r="373" spans="2:7" s="306" customFormat="1" ht="49.5" customHeight="1">
      <c r="B373" s="321"/>
      <c r="C373" s="1"/>
      <c r="D373" s="322" t="s">
        <v>229</v>
      </c>
      <c r="E373" s="322"/>
      <c r="F373" s="322"/>
      <c r="G373" s="46"/>
    </row>
    <row r="374" spans="2:6" s="306" customFormat="1" ht="17.25" customHeight="1">
      <c r="B374" s="323"/>
      <c r="C374" s="324"/>
      <c r="D374" s="322"/>
      <c r="E374" s="325"/>
      <c r="F374" s="326"/>
    </row>
    <row r="375" spans="2:6" s="306" customFormat="1" ht="18" customHeight="1">
      <c r="B375" s="327"/>
      <c r="C375" s="324"/>
      <c r="D375" s="1"/>
      <c r="E375" s="1"/>
      <c r="F375" s="328"/>
    </row>
    <row r="376" ht="14.25">
      <c r="C376" s="329" t="s">
        <v>230</v>
      </c>
    </row>
    <row r="377" spans="2:6" s="330" customFormat="1" ht="15">
      <c r="B377" s="331" t="s">
        <v>27</v>
      </c>
      <c r="C377" s="332"/>
      <c r="E377" s="333" t="s">
        <v>231</v>
      </c>
      <c r="F377" s="334" t="e">
        <f>SUM(F378:F381)</f>
        <v>#REF!</v>
      </c>
    </row>
    <row r="378" spans="2:6" ht="14.25">
      <c r="B378" s="2" t="s">
        <v>27</v>
      </c>
      <c r="E378" s="335" t="s">
        <v>232</v>
      </c>
      <c r="F378" s="336" t="e">
        <f>SUM(F27:F27,F28:F38,F37,F41:F46,F47,F53:F54,F59:F60,#REF!,#REF!,F68,#REF!,F70,#REF!,F94,F98,F101:F102,F106,F111,F110,F133:F134,F136,F139:F139,F139:F139,#REF!,#REF!,#REF!,#REF!,#REF!,#REF!,#REF!)</f>
        <v>#REF!</v>
      </c>
    </row>
    <row r="379" spans="2:6" ht="14.25">
      <c r="B379" s="2" t="s">
        <v>27</v>
      </c>
      <c r="E379" s="335" t="s">
        <v>233</v>
      </c>
      <c r="F379" s="336" t="e">
        <f>SUM(F144,F145,#REF!,F161:F161,#REF!,F166:F166,F179:F180,#REF!,F185,#REF!,F191:F192,#REF!,#REF!,#REF!,#REF!,#REF!,#REF!,#REF!,#REF!,F198,F202,F205:F206,#REF!,#REF!,F213,F233,F236,F240:F242,F245,F249)</f>
        <v>#REF!</v>
      </c>
    </row>
    <row r="380" spans="2:6" ht="14.25">
      <c r="B380" s="2" t="s">
        <v>27</v>
      </c>
      <c r="E380" s="335" t="s">
        <v>234</v>
      </c>
      <c r="F380" s="336" t="e">
        <f>SUM(F251:F253,F254:F256,F258:F258,F259:F262,#REF!,F279:F281,F285,F296:F298,F297:F300,F305:F305,F301,#REF!,F293,F302:F304,F313,F315,F318:F319,F321,F322:F322,#REF!,F324,F326,F335:F336,F338,F366:F366)</f>
        <v>#REF!</v>
      </c>
    </row>
    <row r="381" spans="2:6" ht="14.25">
      <c r="B381" s="2" t="s">
        <v>27</v>
      </c>
      <c r="E381" s="335" t="s">
        <v>235</v>
      </c>
      <c r="F381" s="336" t="e">
        <f>F170+#REF!+#REF!+F171+F339+F114+F342+F234</f>
        <v>#REF!</v>
      </c>
    </row>
    <row r="382" spans="2:6" ht="15" customHeight="1">
      <c r="B382" s="2" t="s">
        <v>104</v>
      </c>
      <c r="E382" s="335" t="s">
        <v>236</v>
      </c>
      <c r="F382" s="336" t="e">
        <f>SUBTOTAL(9,F30,F83,F89,F93:F93,F107:F108,F112,F119,#REF!,F121:F121,F135,#REF!,F141,#REF!,#REF!,#REF!,F148,#REF!,F165,F169,#REF!,F173,F241,F244,F299,F312,#REF!,#REF!)</f>
        <v>#REF!</v>
      </c>
    </row>
    <row r="383" spans="2:6" ht="15" customHeight="1">
      <c r="B383" s="2" t="s">
        <v>237</v>
      </c>
      <c r="E383" s="335" t="s">
        <v>238</v>
      </c>
      <c r="F383" s="336" t="e">
        <f>#REF!+F348+F369+F367</f>
        <v>#REF!</v>
      </c>
    </row>
    <row r="384" spans="2:6" ht="15" customHeight="1">
      <c r="B384" s="2" t="s">
        <v>239</v>
      </c>
      <c r="E384" s="333" t="s">
        <v>240</v>
      </c>
      <c r="F384" s="337" t="e">
        <f>F382+F383</f>
        <v>#REF!</v>
      </c>
    </row>
    <row r="385" spans="2:6" ht="14.25">
      <c r="B385" s="2" t="s">
        <v>345</v>
      </c>
      <c r="E385" s="335" t="s">
        <v>241</v>
      </c>
      <c r="F385" s="336" t="e">
        <f>F190+#REF!+#REF!</f>
        <v>#REF!</v>
      </c>
    </row>
    <row r="386" spans="2:6" ht="14.25">
      <c r="B386" s="2" t="s">
        <v>559</v>
      </c>
      <c r="E386" s="335" t="s">
        <v>242</v>
      </c>
      <c r="F386" s="336" t="e">
        <f>SUM(F117,F151:F154,F156:F156,F158,#REF!,F194:F196,F216,F218,F221:F222,F224,F226:F226,F229:F230,F231,F269:F273,F329,F345,F351,F352,F355,F353,#REF!,F359,F362,#REF!,F331,#REF!,F372)</f>
        <v>#REF!</v>
      </c>
    </row>
    <row r="387" spans="2:6" ht="14.25">
      <c r="B387" s="2" t="s">
        <v>243</v>
      </c>
      <c r="E387" s="335" t="s">
        <v>244</v>
      </c>
      <c r="F387" s="336" t="e">
        <f>SUM(#REF!,#REF!,#REF!,F124:F129,#REF!,F308,F310,#REF!)</f>
        <v>#REF!</v>
      </c>
    </row>
    <row r="388" spans="2:7" s="330" customFormat="1" ht="15">
      <c r="B388" s="331"/>
      <c r="C388" s="332"/>
      <c r="E388" s="333"/>
      <c r="F388" s="334" t="e">
        <f>F377+F384+F385+F386+F387</f>
        <v>#REF!</v>
      </c>
      <c r="G388" s="334"/>
    </row>
    <row r="389" ht="14.25" customHeight="1">
      <c r="F389" s="8" t="e">
        <f>F388=F17</f>
        <v>#REF!</v>
      </c>
    </row>
    <row r="390" spans="5:6" ht="14.25">
      <c r="E390" s="335"/>
      <c r="F390" s="336" t="e">
        <f>F17-F388</f>
        <v>#REF!</v>
      </c>
    </row>
    <row r="391" spans="2:6" s="338" customFormat="1" ht="15.75">
      <c r="B391" s="339"/>
      <c r="C391" s="339"/>
      <c r="E391" s="340" t="s">
        <v>20</v>
      </c>
      <c r="F391" s="341"/>
    </row>
    <row r="392" spans="2:6" ht="14.25">
      <c r="B392" s="2" t="s">
        <v>27</v>
      </c>
      <c r="C392" s="3" t="s">
        <v>117</v>
      </c>
      <c r="E392" s="335" t="s">
        <v>245</v>
      </c>
      <c r="F392" s="336" t="e">
        <f>SUBTOTAL(9,F29:F31,F29:F36,F47:F54,F58:F60,#REF!,F84,#REF!,F94,F98,#REF!,#REF!,#REF!,#REF!,#REF!,#REF!,#REF!,#REF!,#REF!,#REF!,#REF!,#REF!,F147,F161:F161,#REF!,#REF!,#REF!,F179,F177:F180,F182)</f>
        <v>#REF!</v>
      </c>
    </row>
    <row r="393" spans="2:6" ht="14.25">
      <c r="B393" s="2" t="s">
        <v>27</v>
      </c>
      <c r="C393" s="3" t="s">
        <v>117</v>
      </c>
      <c r="E393" s="335" t="s">
        <v>246</v>
      </c>
      <c r="F393" s="336" t="e">
        <f>SUBTOTAL(9,F187,F191,#REF!,#REF!,#REF!,#REF!,#REF!,#REF!,#REF!,F206,#REF!,#REF!,F236,F242,F249,F251,F253,F254:F259,#REF!,F279,F281,F303,F318:F319,#REF!,F326,F336,F338,#REF!)</f>
        <v>#REF!</v>
      </c>
    </row>
    <row r="394" spans="5:6" ht="14.25">
      <c r="E394" s="335" t="s">
        <v>247</v>
      </c>
      <c r="F394" s="336" t="e">
        <f>F170+F171+#REF!+F339+F114+F342+F234</f>
        <v>#REF!</v>
      </c>
    </row>
    <row r="395" spans="2:6" s="330" customFormat="1" ht="15">
      <c r="B395" s="331" t="s">
        <v>27</v>
      </c>
      <c r="C395" s="332" t="s">
        <v>117</v>
      </c>
      <c r="E395" s="333" t="s">
        <v>248</v>
      </c>
      <c r="F395" s="334" t="e">
        <f>F392+F393+F394</f>
        <v>#REF!</v>
      </c>
    </row>
    <row r="396" spans="2:6" ht="14.25">
      <c r="B396" s="2" t="s">
        <v>27</v>
      </c>
      <c r="C396" s="3" t="s">
        <v>28</v>
      </c>
      <c r="E396" s="342" t="s">
        <v>249</v>
      </c>
      <c r="F396" s="336" t="e">
        <f>SUBTOTAL(9,F23,F27:F27,F28:F32,#REF!,F37:F37,F41:F46,F57,#REF!,#REF!,F68,#REF!,F70,F85,F101:F103,F106,F111,F110,#REF!,F133:F134,F136:F138,#REF!,F139,F138:F139,#REF!,#REF!,#REF!,#REF!,#REF!,#REF!)</f>
        <v>#REF!</v>
      </c>
    </row>
    <row r="397" spans="2:6" ht="14.25">
      <c r="B397" s="2" t="s">
        <v>27</v>
      </c>
      <c r="C397" s="3" t="s">
        <v>28</v>
      </c>
      <c r="E397" s="342" t="s">
        <v>250</v>
      </c>
      <c r="F397" s="336" t="e">
        <f>SUBTOTAL(9,F144,F145,#REF!,#REF!,F166,#REF!,#REF!,#REF!,F185,#REF!,#REF!,F192,#REF!,#REF!,#REF!,#REF!,F198,F202,F205,#REF!,F212,#REF!,F213,F233,F240,F245,F252,F260:F261,F262)</f>
        <v>#REF!</v>
      </c>
    </row>
    <row r="398" spans="2:6" ht="14.25">
      <c r="B398" s="2" t="s">
        <v>27</v>
      </c>
      <c r="C398" s="3" t="s">
        <v>28</v>
      </c>
      <c r="E398" s="342" t="s">
        <v>251</v>
      </c>
      <c r="F398" s="336" t="e">
        <f>SUBTOTAL(9,#REF!,F280,F285,F296,F298:F298,F300:F300,F305,F301:F304,F313,F315,F321,F322:F322,#REF!,F324,F335,#REF!,F366:F366)</f>
        <v>#REF!</v>
      </c>
    </row>
    <row r="399" spans="2:6" s="330" customFormat="1" ht="15">
      <c r="B399" s="331" t="s">
        <v>27</v>
      </c>
      <c r="C399" s="332" t="s">
        <v>28</v>
      </c>
      <c r="E399" s="343" t="s">
        <v>252</v>
      </c>
      <c r="F399" s="334" t="e">
        <f>F396+F397+F398</f>
        <v>#REF!</v>
      </c>
    </row>
    <row r="400" spans="2:6" s="330" customFormat="1" ht="15">
      <c r="B400" s="331"/>
      <c r="C400" s="332"/>
      <c r="E400" s="333" t="s">
        <v>253</v>
      </c>
      <c r="F400" s="334" t="e">
        <f>F395+F399</f>
        <v>#REF!</v>
      </c>
    </row>
    <row r="401" ht="14.25">
      <c r="F401" s="1" t="e">
        <f>F400=F377</f>
        <v>#REF!</v>
      </c>
    </row>
    <row r="402" ht="14.25">
      <c r="F402" s="8" t="e">
        <f>F377-F400</f>
        <v>#REF!</v>
      </c>
    </row>
    <row r="403" ht="14.25">
      <c r="F403" s="8"/>
    </row>
    <row r="404" spans="2:6" s="338" customFormat="1" ht="15.75">
      <c r="B404" s="339"/>
      <c r="C404" s="339"/>
      <c r="E404" s="340" t="s">
        <v>254</v>
      </c>
      <c r="F404" s="341"/>
    </row>
    <row r="405" spans="2:6" ht="14.25">
      <c r="B405" s="2" t="s">
        <v>104</v>
      </c>
      <c r="C405" s="3" t="s">
        <v>117</v>
      </c>
      <c r="E405" s="335" t="s">
        <v>245</v>
      </c>
      <c r="F405" s="336" t="e">
        <f>#REF!+#REF!+#REF!+F348+F369+#REF!+F367</f>
        <v>#REF!</v>
      </c>
    </row>
    <row r="406" spans="2:6" ht="14.25">
      <c r="B406" s="2" t="s">
        <v>104</v>
      </c>
      <c r="C406" s="3" t="s">
        <v>117</v>
      </c>
      <c r="E406" s="335" t="s">
        <v>246</v>
      </c>
      <c r="F406" s="336"/>
    </row>
    <row r="407" spans="2:6" s="330" customFormat="1" ht="14.25">
      <c r="B407" s="2" t="s">
        <v>104</v>
      </c>
      <c r="C407" s="332" t="s">
        <v>117</v>
      </c>
      <c r="E407" s="333" t="s">
        <v>248</v>
      </c>
      <c r="F407" s="334" t="e">
        <f>F405+F406</f>
        <v>#REF!</v>
      </c>
    </row>
    <row r="408" spans="2:6" ht="14.25">
      <c r="B408" s="2" t="s">
        <v>104</v>
      </c>
      <c r="C408" s="3" t="s">
        <v>28</v>
      </c>
      <c r="E408" s="342" t="s">
        <v>249</v>
      </c>
      <c r="F408" s="336" t="e">
        <f>F30+F83+F89+F93+F92+F107+F108+F112+F119+F121+F135+#REF!+F141+F148+F165+F169+#REF!+F241+F244+F299+F312+#REF!</f>
        <v>#REF!</v>
      </c>
    </row>
    <row r="409" spans="2:6" ht="14.25">
      <c r="B409" s="2" t="s">
        <v>104</v>
      </c>
      <c r="C409" s="3" t="s">
        <v>28</v>
      </c>
      <c r="E409" s="342" t="s">
        <v>250</v>
      </c>
      <c r="F409" s="336"/>
    </row>
    <row r="410" spans="2:6" s="330" customFormat="1" ht="14.25">
      <c r="B410" s="2" t="s">
        <v>104</v>
      </c>
      <c r="C410" s="332" t="s">
        <v>28</v>
      </c>
      <c r="E410" s="343" t="s">
        <v>252</v>
      </c>
      <c r="F410" s="334" t="e">
        <f>F408+F409</f>
        <v>#REF!</v>
      </c>
    </row>
    <row r="411" spans="2:6" s="330" customFormat="1" ht="15">
      <c r="B411" s="331"/>
      <c r="C411" s="332"/>
      <c r="E411" s="333" t="s">
        <v>255</v>
      </c>
      <c r="F411" s="334" t="e">
        <f>F407+F410</f>
        <v>#REF!</v>
      </c>
    </row>
    <row r="412" ht="14.25">
      <c r="F412" s="1" t="e">
        <f>F411=F384</f>
        <v>#REF!</v>
      </c>
    </row>
    <row r="413" ht="14.25">
      <c r="F413" s="8" t="e">
        <f>F411-F384</f>
        <v>#REF!</v>
      </c>
    </row>
    <row r="415" spans="2:6" s="338" customFormat="1" ht="15.75">
      <c r="B415" s="339"/>
      <c r="C415" s="339"/>
      <c r="E415" s="340" t="s">
        <v>281</v>
      </c>
      <c r="F415" s="341"/>
    </row>
    <row r="416" spans="2:6" s="330" customFormat="1" ht="15">
      <c r="B416" s="331" t="s">
        <v>345</v>
      </c>
      <c r="C416" s="332" t="s">
        <v>117</v>
      </c>
      <c r="E416" s="333" t="s">
        <v>248</v>
      </c>
      <c r="F416" s="334" t="e">
        <f>#REF!</f>
        <v>#REF!</v>
      </c>
    </row>
    <row r="417" spans="2:6" s="330" customFormat="1" ht="15">
      <c r="B417" s="331" t="s">
        <v>345</v>
      </c>
      <c r="C417" s="332" t="s">
        <v>28</v>
      </c>
      <c r="E417" s="343" t="s">
        <v>252</v>
      </c>
      <c r="F417" s="334" t="e">
        <f>F190+#REF!</f>
        <v>#REF!</v>
      </c>
    </row>
    <row r="418" spans="2:6" s="330" customFormat="1" ht="15">
      <c r="B418" s="331"/>
      <c r="C418" s="332"/>
      <c r="E418" s="333" t="s">
        <v>282</v>
      </c>
      <c r="F418" s="334" t="e">
        <f>F416+F417</f>
        <v>#REF!</v>
      </c>
    </row>
    <row r="419" ht="14.25">
      <c r="F419" s="1" t="e">
        <f>F418=F385</f>
        <v>#REF!</v>
      </c>
    </row>
    <row r="420" ht="14.25">
      <c r="F420" s="8" t="e">
        <f>F418-F385</f>
        <v>#REF!</v>
      </c>
    </row>
    <row r="422" spans="5:6" ht="14.25">
      <c r="E422" s="333" t="s">
        <v>283</v>
      </c>
      <c r="F422" s="334" t="e">
        <f>F395+F407+F416</f>
        <v>#REF!</v>
      </c>
    </row>
    <row r="423" spans="5:6" ht="14.25">
      <c r="E423" s="333" t="s">
        <v>284</v>
      </c>
      <c r="F423" s="334" t="e">
        <f>F399+F410+F417</f>
        <v>#REF!</v>
      </c>
    </row>
    <row r="424" spans="5:6" ht="14.25">
      <c r="E424" s="333" t="s">
        <v>285</v>
      </c>
      <c r="F424" s="334" t="e">
        <f>F422+F423</f>
        <v>#REF!</v>
      </c>
    </row>
  </sheetData>
  <sheetProtection selectLockedCells="1" selectUnlockedCells="1"/>
  <mergeCells count="3">
    <mergeCell ref="F11:F15"/>
    <mergeCell ref="D282:E282"/>
    <mergeCell ref="D363:E363"/>
  </mergeCells>
  <printOptions/>
  <pageMargins left="0.42986111111111114" right="0.35" top="0.4597222222222222" bottom="0.49027777777777776" header="0.5118055555555555" footer="0.5118055555555555"/>
  <pageSetup horizontalDpi="300" verticalDpi="300" orientation="portrait" paperSize="9" scale="5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23"/>
  <sheetViews>
    <sheetView tabSelected="1" view="pageBreakPreview" zoomScaleNormal="80" zoomScaleSheetLayoutView="100" workbookViewId="0" topLeftCell="A1">
      <selection activeCell="AW1" sqref="AW1"/>
    </sheetView>
  </sheetViews>
  <sheetFormatPr defaultColWidth="9.140625" defaultRowHeight="12.75" outlineLevelCol="1"/>
  <cols>
    <col min="1" max="1" width="6.421875" style="345" customWidth="1"/>
    <col min="2" max="2" width="11.140625" style="378" customWidth="1"/>
    <col min="3" max="3" width="12.28125" style="378" customWidth="1"/>
    <col min="4" max="4" width="47.7109375" style="378" customWidth="1"/>
    <col min="5" max="5" width="12.57421875" style="378" hidden="1" customWidth="1" outlineLevel="1"/>
    <col min="6" max="7" width="13.7109375" style="378" hidden="1" customWidth="1" outlineLevel="1"/>
    <col min="8" max="9" width="13.57421875" style="378" hidden="1" customWidth="1" outlineLevel="1"/>
    <col min="10" max="10" width="16.140625" style="380" hidden="1" customWidth="1" outlineLevel="1"/>
    <col min="11" max="11" width="20.00390625" style="667" hidden="1" customWidth="1" outlineLevel="1"/>
    <col min="12" max="12" width="18.7109375" style="667" hidden="1" customWidth="1" outlineLevel="1"/>
    <col min="13" max="14" width="17.140625" style="667" hidden="1" customWidth="1" outlineLevel="1"/>
    <col min="15" max="15" width="12.57421875" style="378" hidden="1" customWidth="1" outlineLevel="1"/>
    <col min="16" max="17" width="16.00390625" style="378" hidden="1" customWidth="1"/>
    <col min="18" max="18" width="16.140625" style="378" hidden="1" customWidth="1"/>
    <col min="19" max="19" width="16.140625" style="378" hidden="1" customWidth="1" outlineLevel="1"/>
    <col min="20" max="20" width="16.140625" style="380" hidden="1" customWidth="1" outlineLevel="1"/>
    <col min="21" max="21" width="20.00390625" style="667" hidden="1" customWidth="1" outlineLevel="1"/>
    <col min="22" max="22" width="18.7109375" style="667" hidden="1" customWidth="1" outlineLevel="1"/>
    <col min="23" max="24" width="17.140625" style="667" hidden="1" customWidth="1" outlineLevel="1"/>
    <col min="25" max="25" width="16.00390625" style="378" hidden="1" customWidth="1" outlineLevel="1"/>
    <col min="26" max="27" width="16.00390625" style="378" hidden="1" customWidth="1"/>
    <col min="28" max="28" width="16.140625" style="378" hidden="1" customWidth="1"/>
    <col min="29" max="29" width="16.140625" style="378" hidden="1" customWidth="1" outlineLevel="1"/>
    <col min="30" max="30" width="16.140625" style="380" hidden="1" customWidth="1" outlineLevel="1"/>
    <col min="31" max="31" width="20.00390625" style="667" hidden="1" customWidth="1" outlineLevel="1"/>
    <col min="32" max="32" width="18.7109375" style="667" hidden="1" customWidth="1" outlineLevel="1"/>
    <col min="33" max="34" width="17.140625" style="667" hidden="1" customWidth="1" outlineLevel="1"/>
    <col min="35" max="35" width="16.00390625" style="378" hidden="1" customWidth="1" outlineLevel="1"/>
    <col min="36" max="37" width="16.00390625" style="378" hidden="1" customWidth="1"/>
    <col min="38" max="38" width="16.140625" style="378" hidden="1" customWidth="1"/>
    <col min="39" max="39" width="18.140625" style="378" hidden="1" customWidth="1" outlineLevel="1"/>
    <col min="40" max="40" width="16.140625" style="380" hidden="1" customWidth="1" outlineLevel="1"/>
    <col min="41" max="41" width="20.00390625" style="667" hidden="1" customWidth="1" outlineLevel="1"/>
    <col min="42" max="42" width="18.7109375" style="667" hidden="1" customWidth="1" outlineLevel="1"/>
    <col min="43" max="44" width="17.140625" style="667" hidden="1" customWidth="1" outlineLevel="1"/>
    <col min="45" max="45" width="16.00390625" style="378" customWidth="1" outlineLevel="1"/>
    <col min="46" max="46" width="16.00390625" style="378" hidden="1" customWidth="1"/>
    <col min="47" max="47" width="16.00390625" style="378" customWidth="1"/>
    <col min="48" max="48" width="16.140625" style="378" customWidth="1"/>
    <col min="49" max="49" width="18.140625" style="378" customWidth="1" outlineLevel="1"/>
    <col min="50" max="16384" width="9.140625" style="344" customWidth="1"/>
  </cols>
  <sheetData>
    <row r="1" spans="2:49" ht="12.75">
      <c r="B1" s="377"/>
      <c r="F1" s="379"/>
      <c r="G1" s="379"/>
      <c r="I1" s="379" t="s">
        <v>670</v>
      </c>
      <c r="K1" s="381"/>
      <c r="L1" s="381"/>
      <c r="M1" s="381"/>
      <c r="N1" s="381"/>
      <c r="P1" s="379"/>
      <c r="Q1" s="379"/>
      <c r="R1" s="379"/>
      <c r="S1" s="379" t="s">
        <v>674</v>
      </c>
      <c r="U1" s="381"/>
      <c r="V1" s="381"/>
      <c r="W1" s="381"/>
      <c r="X1" s="381"/>
      <c r="Z1" s="379"/>
      <c r="AA1" s="379"/>
      <c r="AB1" s="379"/>
      <c r="AC1" s="379" t="s">
        <v>676</v>
      </c>
      <c r="AE1" s="381"/>
      <c r="AF1" s="381"/>
      <c r="AG1" s="381"/>
      <c r="AH1" s="381"/>
      <c r="AJ1" s="379"/>
      <c r="AK1" s="379"/>
      <c r="AL1" s="379"/>
      <c r="AM1" s="726" t="s">
        <v>684</v>
      </c>
      <c r="AO1" s="381"/>
      <c r="AP1" s="381"/>
      <c r="AQ1" s="381"/>
      <c r="AR1" s="381"/>
      <c r="AT1" s="379"/>
      <c r="AU1" s="379"/>
      <c r="AV1" s="379"/>
      <c r="AW1" s="726" t="s">
        <v>687</v>
      </c>
    </row>
    <row r="2" spans="6:49" ht="12.75">
      <c r="F2" s="382"/>
      <c r="G2" s="382"/>
      <c r="I2" s="382" t="s">
        <v>643</v>
      </c>
      <c r="K2" s="383"/>
      <c r="L2" s="383"/>
      <c r="M2" s="383"/>
      <c r="N2" s="383"/>
      <c r="P2" s="382"/>
      <c r="Q2" s="382"/>
      <c r="R2" s="382"/>
      <c r="S2" s="382" t="s">
        <v>643</v>
      </c>
      <c r="U2" s="383"/>
      <c r="V2" s="383"/>
      <c r="W2" s="383"/>
      <c r="X2" s="383"/>
      <c r="Z2" s="382"/>
      <c r="AA2" s="382"/>
      <c r="AB2" s="382"/>
      <c r="AC2" s="382" t="s">
        <v>643</v>
      </c>
      <c r="AE2" s="383"/>
      <c r="AF2" s="383"/>
      <c r="AG2" s="383"/>
      <c r="AH2" s="383"/>
      <c r="AJ2" s="382"/>
      <c r="AK2" s="382"/>
      <c r="AL2" s="382"/>
      <c r="AM2" s="727" t="s">
        <v>643</v>
      </c>
      <c r="AO2" s="383"/>
      <c r="AP2" s="383"/>
      <c r="AQ2" s="383"/>
      <c r="AR2" s="383"/>
      <c r="AT2" s="382"/>
      <c r="AU2" s="382"/>
      <c r="AV2" s="382"/>
      <c r="AW2" s="727" t="s">
        <v>643</v>
      </c>
    </row>
    <row r="3" spans="6:49" ht="12.75">
      <c r="F3" s="384"/>
      <c r="G3" s="384"/>
      <c r="I3" s="384" t="s">
        <v>669</v>
      </c>
      <c r="K3" s="385"/>
      <c r="L3" s="385"/>
      <c r="M3" s="385"/>
      <c r="N3" s="385"/>
      <c r="P3" s="384"/>
      <c r="Q3" s="384"/>
      <c r="R3" s="384"/>
      <c r="S3" s="384" t="s">
        <v>673</v>
      </c>
      <c r="U3" s="385"/>
      <c r="V3" s="385"/>
      <c r="W3" s="385"/>
      <c r="X3" s="385"/>
      <c r="Z3" s="384"/>
      <c r="AA3" s="384"/>
      <c r="AB3" s="384"/>
      <c r="AC3" s="384" t="s">
        <v>675</v>
      </c>
      <c r="AE3" s="385"/>
      <c r="AF3" s="385"/>
      <c r="AG3" s="385"/>
      <c r="AH3" s="385"/>
      <c r="AJ3" s="384"/>
      <c r="AK3" s="384"/>
      <c r="AL3" s="384"/>
      <c r="AM3" s="728" t="s">
        <v>678</v>
      </c>
      <c r="AO3" s="385"/>
      <c r="AP3" s="385"/>
      <c r="AQ3" s="385"/>
      <c r="AR3" s="385"/>
      <c r="AT3" s="384"/>
      <c r="AU3" s="384"/>
      <c r="AV3" s="384"/>
      <c r="AW3" s="728" t="s">
        <v>686</v>
      </c>
    </row>
    <row r="4" spans="6:49" ht="12.75" customHeight="1" hidden="1">
      <c r="F4" s="386"/>
      <c r="G4" s="386"/>
      <c r="H4" s="386"/>
      <c r="I4" s="386"/>
      <c r="K4" s="387"/>
      <c r="L4" s="387"/>
      <c r="M4" s="387"/>
      <c r="N4" s="387"/>
      <c r="P4" s="386"/>
      <c r="Q4" s="386"/>
      <c r="R4" s="386"/>
      <c r="S4" s="386"/>
      <c r="U4" s="387"/>
      <c r="V4" s="387"/>
      <c r="W4" s="387"/>
      <c r="X4" s="387"/>
      <c r="Z4" s="386"/>
      <c r="AA4" s="386"/>
      <c r="AB4" s="386"/>
      <c r="AC4" s="386"/>
      <c r="AE4" s="387"/>
      <c r="AF4" s="387"/>
      <c r="AG4" s="387"/>
      <c r="AH4" s="387"/>
      <c r="AJ4" s="386"/>
      <c r="AK4" s="386"/>
      <c r="AL4" s="386"/>
      <c r="AM4" s="386"/>
      <c r="AO4" s="387"/>
      <c r="AP4" s="387"/>
      <c r="AQ4" s="387"/>
      <c r="AR4" s="387"/>
      <c r="AT4" s="386"/>
      <c r="AU4" s="386"/>
      <c r="AV4" s="386"/>
      <c r="AW4" s="386"/>
    </row>
    <row r="5" spans="1:49" ht="12.75" customHeight="1" hidden="1">
      <c r="A5" s="346"/>
      <c r="B5" s="388"/>
      <c r="C5" s="388"/>
      <c r="D5" s="389"/>
      <c r="E5" s="389"/>
      <c r="F5" s="386"/>
      <c r="G5" s="386"/>
      <c r="H5" s="386"/>
      <c r="I5" s="386"/>
      <c r="J5" s="390"/>
      <c r="K5" s="387"/>
      <c r="L5" s="387"/>
      <c r="M5" s="387"/>
      <c r="N5" s="387"/>
      <c r="O5" s="389"/>
      <c r="P5" s="386"/>
      <c r="Q5" s="386"/>
      <c r="R5" s="386"/>
      <c r="S5" s="386"/>
      <c r="T5" s="390"/>
      <c r="U5" s="387"/>
      <c r="V5" s="387"/>
      <c r="W5" s="387"/>
      <c r="X5" s="387"/>
      <c r="Y5" s="389"/>
      <c r="Z5" s="386"/>
      <c r="AA5" s="386"/>
      <c r="AB5" s="386"/>
      <c r="AC5" s="386"/>
      <c r="AD5" s="390"/>
      <c r="AE5" s="387"/>
      <c r="AF5" s="387"/>
      <c r="AG5" s="387"/>
      <c r="AH5" s="387"/>
      <c r="AI5" s="389"/>
      <c r="AJ5" s="386"/>
      <c r="AK5" s="386"/>
      <c r="AL5" s="386"/>
      <c r="AM5" s="386"/>
      <c r="AN5" s="390"/>
      <c r="AO5" s="387"/>
      <c r="AP5" s="387"/>
      <c r="AQ5" s="387"/>
      <c r="AR5" s="387"/>
      <c r="AS5" s="389"/>
      <c r="AT5" s="386"/>
      <c r="AU5" s="386"/>
      <c r="AV5" s="386"/>
      <c r="AW5" s="386"/>
    </row>
    <row r="6" spans="1:49" ht="12.75" customHeight="1" hidden="1">
      <c r="A6" s="346"/>
      <c r="D6" s="389"/>
      <c r="E6" s="389"/>
      <c r="F6" s="386"/>
      <c r="G6" s="386"/>
      <c r="H6" s="386"/>
      <c r="I6" s="386"/>
      <c r="J6" s="390"/>
      <c r="K6" s="387"/>
      <c r="L6" s="387"/>
      <c r="M6" s="387"/>
      <c r="N6" s="387"/>
      <c r="O6" s="389"/>
      <c r="P6" s="386"/>
      <c r="Q6" s="386"/>
      <c r="R6" s="386"/>
      <c r="S6" s="386"/>
      <c r="T6" s="390"/>
      <c r="U6" s="387"/>
      <c r="V6" s="387"/>
      <c r="W6" s="387"/>
      <c r="X6" s="387"/>
      <c r="Y6" s="389"/>
      <c r="Z6" s="386"/>
      <c r="AA6" s="386"/>
      <c r="AB6" s="386"/>
      <c r="AC6" s="386"/>
      <c r="AD6" s="390"/>
      <c r="AE6" s="387"/>
      <c r="AF6" s="387"/>
      <c r="AG6" s="387"/>
      <c r="AH6" s="387"/>
      <c r="AI6" s="389"/>
      <c r="AJ6" s="386"/>
      <c r="AK6" s="386"/>
      <c r="AL6" s="386"/>
      <c r="AM6" s="386"/>
      <c r="AN6" s="390"/>
      <c r="AO6" s="387"/>
      <c r="AP6" s="387"/>
      <c r="AQ6" s="387"/>
      <c r="AR6" s="387"/>
      <c r="AS6" s="389"/>
      <c r="AT6" s="386"/>
      <c r="AU6" s="386"/>
      <c r="AV6" s="386"/>
      <c r="AW6" s="386"/>
    </row>
    <row r="7" spans="1:49" s="347" customFormat="1" ht="12.75" customHeight="1" hidden="1">
      <c r="A7" s="346"/>
      <c r="B7" s="391"/>
      <c r="C7" s="391"/>
      <c r="D7" s="392"/>
      <c r="E7" s="392"/>
      <c r="F7" s="386"/>
      <c r="G7" s="386"/>
      <c r="H7" s="386"/>
      <c r="I7" s="386"/>
      <c r="J7" s="393"/>
      <c r="K7" s="387"/>
      <c r="L7" s="387"/>
      <c r="M7" s="387"/>
      <c r="N7" s="387"/>
      <c r="O7" s="392"/>
      <c r="P7" s="386"/>
      <c r="Q7" s="386"/>
      <c r="R7" s="386"/>
      <c r="S7" s="386"/>
      <c r="T7" s="393"/>
      <c r="U7" s="387"/>
      <c r="V7" s="387"/>
      <c r="W7" s="387"/>
      <c r="X7" s="387"/>
      <c r="Y7" s="392"/>
      <c r="Z7" s="386"/>
      <c r="AA7" s="386"/>
      <c r="AB7" s="386"/>
      <c r="AC7" s="386"/>
      <c r="AD7" s="393"/>
      <c r="AE7" s="387"/>
      <c r="AF7" s="387"/>
      <c r="AG7" s="387"/>
      <c r="AH7" s="387"/>
      <c r="AI7" s="392"/>
      <c r="AJ7" s="386"/>
      <c r="AK7" s="386"/>
      <c r="AL7" s="386"/>
      <c r="AM7" s="386"/>
      <c r="AN7" s="393"/>
      <c r="AO7" s="387"/>
      <c r="AP7" s="387"/>
      <c r="AQ7" s="387"/>
      <c r="AR7" s="387"/>
      <c r="AS7" s="392"/>
      <c r="AT7" s="386"/>
      <c r="AU7" s="386"/>
      <c r="AV7" s="386"/>
      <c r="AW7" s="386"/>
    </row>
    <row r="8" spans="1:49" s="347" customFormat="1" ht="12.75">
      <c r="A8" s="346"/>
      <c r="B8" s="391"/>
      <c r="C8" s="391"/>
      <c r="D8" s="392"/>
      <c r="E8" s="392"/>
      <c r="F8" s="394"/>
      <c r="G8" s="394"/>
      <c r="H8" s="394"/>
      <c r="I8" s="394"/>
      <c r="J8" s="393"/>
      <c r="K8" s="395"/>
      <c r="L8" s="395"/>
      <c r="M8" s="395"/>
      <c r="N8" s="395"/>
      <c r="O8" s="392"/>
      <c r="P8" s="394"/>
      <c r="Q8" s="394"/>
      <c r="R8" s="394"/>
      <c r="S8" s="394"/>
      <c r="T8" s="393"/>
      <c r="U8" s="395"/>
      <c r="V8" s="395"/>
      <c r="W8" s="395"/>
      <c r="X8" s="395"/>
      <c r="Y8" s="392"/>
      <c r="Z8" s="394"/>
      <c r="AA8" s="394"/>
      <c r="AB8" s="394"/>
      <c r="AC8" s="394"/>
      <c r="AD8" s="393"/>
      <c r="AE8" s="395"/>
      <c r="AF8" s="395"/>
      <c r="AG8" s="395"/>
      <c r="AH8" s="395"/>
      <c r="AI8" s="392"/>
      <c r="AJ8" s="394"/>
      <c r="AK8" s="394"/>
      <c r="AL8" s="394"/>
      <c r="AM8" s="394"/>
      <c r="AN8" s="393"/>
      <c r="AO8" s="395"/>
      <c r="AP8" s="395"/>
      <c r="AQ8" s="395"/>
      <c r="AR8" s="395"/>
      <c r="AS8" s="392"/>
      <c r="AT8" s="394"/>
      <c r="AU8" s="394"/>
      <c r="AV8" s="394"/>
      <c r="AW8" s="394"/>
    </row>
    <row r="9" spans="1:49" s="347" customFormat="1" ht="21" customHeight="1">
      <c r="A9" s="348"/>
      <c r="B9" s="396"/>
      <c r="C9" s="396"/>
      <c r="D9" s="397" t="s">
        <v>646</v>
      </c>
      <c r="E9" s="398"/>
      <c r="F9" s="399"/>
      <c r="G9" s="399"/>
      <c r="H9" s="399"/>
      <c r="I9" s="399"/>
      <c r="J9" s="400"/>
      <c r="K9" s="401"/>
      <c r="L9" s="401"/>
      <c r="M9" s="401"/>
      <c r="N9" s="401"/>
      <c r="O9" s="398"/>
      <c r="P9" s="399"/>
      <c r="Q9" s="399"/>
      <c r="R9" s="399"/>
      <c r="S9" s="399"/>
      <c r="T9" s="400"/>
      <c r="U9" s="401"/>
      <c r="V9" s="401"/>
      <c r="W9" s="401"/>
      <c r="X9" s="401"/>
      <c r="Y9" s="398"/>
      <c r="Z9" s="399"/>
      <c r="AA9" s="399"/>
      <c r="AB9" s="399"/>
      <c r="AC9" s="399"/>
      <c r="AD9" s="400"/>
      <c r="AE9" s="401"/>
      <c r="AF9" s="401"/>
      <c r="AG9" s="401"/>
      <c r="AH9" s="401"/>
      <c r="AI9" s="398"/>
      <c r="AJ9" s="399"/>
      <c r="AK9" s="399"/>
      <c r="AL9" s="399"/>
      <c r="AM9" s="399"/>
      <c r="AN9" s="400"/>
      <c r="AO9" s="401"/>
      <c r="AP9" s="401"/>
      <c r="AQ9" s="401"/>
      <c r="AR9" s="401"/>
      <c r="AS9" s="398"/>
      <c r="AT9" s="399"/>
      <c r="AU9" s="399"/>
      <c r="AV9" s="399"/>
      <c r="AW9" s="399"/>
    </row>
    <row r="10" spans="1:49" s="347" customFormat="1" ht="15" customHeight="1" thickBot="1">
      <c r="A10" s="349"/>
      <c r="B10" s="402"/>
      <c r="C10" s="402"/>
      <c r="D10" s="398"/>
      <c r="E10" s="129"/>
      <c r="F10" s="403"/>
      <c r="G10" s="403"/>
      <c r="H10" s="396"/>
      <c r="I10" s="403" t="s">
        <v>16</v>
      </c>
      <c r="J10" s="404"/>
      <c r="K10" s="405"/>
      <c r="L10" s="405"/>
      <c r="M10" s="401"/>
      <c r="N10" s="405" t="s">
        <v>16</v>
      </c>
      <c r="O10" s="129"/>
      <c r="P10" s="403"/>
      <c r="Q10" s="403"/>
      <c r="R10" s="403"/>
      <c r="S10" s="403" t="s">
        <v>16</v>
      </c>
      <c r="T10" s="404"/>
      <c r="U10" s="405"/>
      <c r="V10" s="405"/>
      <c r="W10" s="401"/>
      <c r="X10" s="405" t="s">
        <v>16</v>
      </c>
      <c r="Y10" s="129"/>
      <c r="Z10" s="403"/>
      <c r="AA10" s="403"/>
      <c r="AB10" s="403"/>
      <c r="AC10" s="403" t="s">
        <v>16</v>
      </c>
      <c r="AD10" s="404"/>
      <c r="AE10" s="405"/>
      <c r="AF10" s="405" t="s">
        <v>677</v>
      </c>
      <c r="AG10" s="401"/>
      <c r="AH10" s="405" t="s">
        <v>16</v>
      </c>
      <c r="AI10" s="129"/>
      <c r="AJ10" s="403"/>
      <c r="AK10" s="403"/>
      <c r="AL10" s="403"/>
      <c r="AM10" s="403" t="s">
        <v>16</v>
      </c>
      <c r="AN10" s="404"/>
      <c r="AO10" s="405"/>
      <c r="AP10" s="405" t="s">
        <v>685</v>
      </c>
      <c r="AQ10" s="401"/>
      <c r="AR10" s="405" t="s">
        <v>16</v>
      </c>
      <c r="AS10" s="129"/>
      <c r="AT10" s="403"/>
      <c r="AU10" s="403"/>
      <c r="AV10" s="403"/>
      <c r="AW10" s="403" t="s">
        <v>16</v>
      </c>
    </row>
    <row r="11" spans="1:49" s="347" customFormat="1" ht="12.75" customHeight="1">
      <c r="A11" s="351"/>
      <c r="B11" s="406" t="s">
        <v>18</v>
      </c>
      <c r="C11" s="818" t="s">
        <v>392</v>
      </c>
      <c r="D11" s="820" t="s">
        <v>393</v>
      </c>
      <c r="E11" s="807" t="s">
        <v>644</v>
      </c>
      <c r="F11" s="810" t="s">
        <v>396</v>
      </c>
      <c r="G11" s="811"/>
      <c r="H11" s="811"/>
      <c r="I11" s="407"/>
      <c r="J11" s="802" t="s">
        <v>644</v>
      </c>
      <c r="K11" s="805" t="s">
        <v>396</v>
      </c>
      <c r="L11" s="806"/>
      <c r="M11" s="806"/>
      <c r="N11" s="408"/>
      <c r="O11" s="807" t="s">
        <v>644</v>
      </c>
      <c r="P11" s="810" t="s">
        <v>396</v>
      </c>
      <c r="Q11" s="811"/>
      <c r="R11" s="811"/>
      <c r="S11" s="407"/>
      <c r="T11" s="802" t="s">
        <v>644</v>
      </c>
      <c r="U11" s="805" t="s">
        <v>396</v>
      </c>
      <c r="V11" s="806"/>
      <c r="W11" s="806"/>
      <c r="X11" s="408"/>
      <c r="Y11" s="807" t="s">
        <v>644</v>
      </c>
      <c r="Z11" s="810" t="s">
        <v>396</v>
      </c>
      <c r="AA11" s="811"/>
      <c r="AB11" s="811"/>
      <c r="AC11" s="407"/>
      <c r="AD11" s="802" t="s">
        <v>644</v>
      </c>
      <c r="AE11" s="805" t="s">
        <v>396</v>
      </c>
      <c r="AF11" s="806"/>
      <c r="AG11" s="806"/>
      <c r="AH11" s="408"/>
      <c r="AI11" s="807" t="s">
        <v>644</v>
      </c>
      <c r="AJ11" s="810" t="s">
        <v>396</v>
      </c>
      <c r="AK11" s="811"/>
      <c r="AL11" s="811"/>
      <c r="AM11" s="407"/>
      <c r="AN11" s="802" t="s">
        <v>644</v>
      </c>
      <c r="AO11" s="805" t="s">
        <v>396</v>
      </c>
      <c r="AP11" s="806"/>
      <c r="AQ11" s="806"/>
      <c r="AR11" s="408"/>
      <c r="AS11" s="807" t="s">
        <v>644</v>
      </c>
      <c r="AT11" s="810" t="s">
        <v>396</v>
      </c>
      <c r="AU11" s="811"/>
      <c r="AV11" s="811"/>
      <c r="AW11" s="407"/>
    </row>
    <row r="12" spans="1:49" s="347" customFormat="1" ht="12.75" customHeight="1">
      <c r="A12" s="349"/>
      <c r="B12" s="409" t="s">
        <v>390</v>
      </c>
      <c r="C12" s="819"/>
      <c r="D12" s="821"/>
      <c r="E12" s="808"/>
      <c r="F12" s="816" t="s">
        <v>623</v>
      </c>
      <c r="G12" s="816" t="s">
        <v>624</v>
      </c>
      <c r="H12" s="798" t="s">
        <v>663</v>
      </c>
      <c r="I12" s="800" t="s">
        <v>664</v>
      </c>
      <c r="J12" s="803"/>
      <c r="K12" s="812" t="s">
        <v>623</v>
      </c>
      <c r="L12" s="812" t="s">
        <v>624</v>
      </c>
      <c r="M12" s="814" t="s">
        <v>663</v>
      </c>
      <c r="N12" s="814" t="s">
        <v>664</v>
      </c>
      <c r="O12" s="808"/>
      <c r="P12" s="816" t="s">
        <v>672</v>
      </c>
      <c r="Q12" s="816" t="s">
        <v>624</v>
      </c>
      <c r="R12" s="798" t="s">
        <v>663</v>
      </c>
      <c r="S12" s="800" t="s">
        <v>664</v>
      </c>
      <c r="T12" s="803"/>
      <c r="U12" s="812" t="s">
        <v>623</v>
      </c>
      <c r="V12" s="812" t="s">
        <v>624</v>
      </c>
      <c r="W12" s="814" t="s">
        <v>663</v>
      </c>
      <c r="X12" s="814" t="s">
        <v>664</v>
      </c>
      <c r="Y12" s="808"/>
      <c r="Z12" s="816" t="s">
        <v>672</v>
      </c>
      <c r="AA12" s="816" t="s">
        <v>624</v>
      </c>
      <c r="AB12" s="798" t="s">
        <v>663</v>
      </c>
      <c r="AC12" s="800" t="s">
        <v>664</v>
      </c>
      <c r="AD12" s="803"/>
      <c r="AE12" s="812" t="s">
        <v>623</v>
      </c>
      <c r="AF12" s="812" t="s">
        <v>624</v>
      </c>
      <c r="AG12" s="814" t="s">
        <v>663</v>
      </c>
      <c r="AH12" s="814" t="s">
        <v>664</v>
      </c>
      <c r="AI12" s="808"/>
      <c r="AJ12" s="816" t="s">
        <v>672</v>
      </c>
      <c r="AK12" s="816" t="s">
        <v>624</v>
      </c>
      <c r="AL12" s="798" t="s">
        <v>663</v>
      </c>
      <c r="AM12" s="800" t="s">
        <v>664</v>
      </c>
      <c r="AN12" s="803"/>
      <c r="AO12" s="812" t="s">
        <v>623</v>
      </c>
      <c r="AP12" s="812" t="s">
        <v>624</v>
      </c>
      <c r="AQ12" s="814" t="s">
        <v>663</v>
      </c>
      <c r="AR12" s="814" t="s">
        <v>664</v>
      </c>
      <c r="AS12" s="808"/>
      <c r="AT12" s="816" t="s">
        <v>672</v>
      </c>
      <c r="AU12" s="816" t="s">
        <v>624</v>
      </c>
      <c r="AV12" s="798" t="s">
        <v>663</v>
      </c>
      <c r="AW12" s="800" t="s">
        <v>664</v>
      </c>
    </row>
    <row r="13" spans="1:49" s="347" customFormat="1" ht="18" customHeight="1">
      <c r="A13" s="352"/>
      <c r="B13" s="410" t="s">
        <v>17</v>
      </c>
      <c r="C13" s="819"/>
      <c r="D13" s="821"/>
      <c r="E13" s="809"/>
      <c r="F13" s="817"/>
      <c r="G13" s="817"/>
      <c r="H13" s="799"/>
      <c r="I13" s="801"/>
      <c r="J13" s="804"/>
      <c r="K13" s="813"/>
      <c r="L13" s="813"/>
      <c r="M13" s="815"/>
      <c r="N13" s="815"/>
      <c r="O13" s="809"/>
      <c r="P13" s="817"/>
      <c r="Q13" s="817"/>
      <c r="R13" s="799"/>
      <c r="S13" s="801"/>
      <c r="T13" s="804"/>
      <c r="U13" s="813"/>
      <c r="V13" s="813"/>
      <c r="W13" s="815"/>
      <c r="X13" s="815"/>
      <c r="Y13" s="809"/>
      <c r="Z13" s="817"/>
      <c r="AA13" s="817"/>
      <c r="AB13" s="799"/>
      <c r="AC13" s="801"/>
      <c r="AD13" s="804"/>
      <c r="AE13" s="813"/>
      <c r="AF13" s="813"/>
      <c r="AG13" s="815"/>
      <c r="AH13" s="815"/>
      <c r="AI13" s="809"/>
      <c r="AJ13" s="817"/>
      <c r="AK13" s="817"/>
      <c r="AL13" s="799"/>
      <c r="AM13" s="801"/>
      <c r="AN13" s="804"/>
      <c r="AO13" s="813"/>
      <c r="AP13" s="813"/>
      <c r="AQ13" s="815"/>
      <c r="AR13" s="815"/>
      <c r="AS13" s="809"/>
      <c r="AT13" s="817"/>
      <c r="AU13" s="817"/>
      <c r="AV13" s="799"/>
      <c r="AW13" s="801"/>
    </row>
    <row r="14" spans="1:49" s="354" customFormat="1" ht="9.75" customHeight="1">
      <c r="A14" s="353"/>
      <c r="B14" s="411">
        <v>1</v>
      </c>
      <c r="C14" s="412">
        <v>2</v>
      </c>
      <c r="D14" s="413">
        <v>3</v>
      </c>
      <c r="E14" s="413">
        <v>4</v>
      </c>
      <c r="F14" s="413">
        <v>5</v>
      </c>
      <c r="G14" s="413">
        <v>6</v>
      </c>
      <c r="H14" s="414">
        <v>7</v>
      </c>
      <c r="I14" s="415">
        <v>8</v>
      </c>
      <c r="J14" s="416">
        <v>4</v>
      </c>
      <c r="K14" s="417">
        <v>5</v>
      </c>
      <c r="L14" s="417">
        <v>6</v>
      </c>
      <c r="M14" s="418">
        <v>7</v>
      </c>
      <c r="N14" s="418">
        <v>8</v>
      </c>
      <c r="O14" s="413">
        <v>4</v>
      </c>
      <c r="P14" s="413">
        <v>5</v>
      </c>
      <c r="Q14" s="696">
        <v>5</v>
      </c>
      <c r="R14" s="697">
        <v>6</v>
      </c>
      <c r="S14" s="698">
        <v>7</v>
      </c>
      <c r="T14" s="416">
        <v>4</v>
      </c>
      <c r="U14" s="417">
        <v>5</v>
      </c>
      <c r="V14" s="417">
        <v>6</v>
      </c>
      <c r="W14" s="418">
        <v>7</v>
      </c>
      <c r="X14" s="418">
        <v>8</v>
      </c>
      <c r="Y14" s="413">
        <v>4</v>
      </c>
      <c r="Z14" s="413">
        <v>5</v>
      </c>
      <c r="AA14" s="696">
        <v>5</v>
      </c>
      <c r="AB14" s="697">
        <v>6</v>
      </c>
      <c r="AC14" s="698">
        <v>7</v>
      </c>
      <c r="AD14" s="416">
        <v>4</v>
      </c>
      <c r="AE14" s="417">
        <v>5</v>
      </c>
      <c r="AF14" s="417">
        <v>6</v>
      </c>
      <c r="AG14" s="418">
        <v>7</v>
      </c>
      <c r="AH14" s="418">
        <v>8</v>
      </c>
      <c r="AI14" s="413">
        <v>4</v>
      </c>
      <c r="AJ14" s="413">
        <v>5</v>
      </c>
      <c r="AK14" s="696">
        <v>5</v>
      </c>
      <c r="AL14" s="697">
        <v>6</v>
      </c>
      <c r="AM14" s="698">
        <v>7</v>
      </c>
      <c r="AN14" s="416">
        <v>4</v>
      </c>
      <c r="AO14" s="417">
        <v>5</v>
      </c>
      <c r="AP14" s="417">
        <v>6</v>
      </c>
      <c r="AQ14" s="418">
        <v>7</v>
      </c>
      <c r="AR14" s="418">
        <v>8</v>
      </c>
      <c r="AS14" s="413">
        <v>4</v>
      </c>
      <c r="AT14" s="413">
        <v>5</v>
      </c>
      <c r="AU14" s="696">
        <v>5</v>
      </c>
      <c r="AV14" s="697">
        <v>6</v>
      </c>
      <c r="AW14" s="698">
        <v>7</v>
      </c>
    </row>
    <row r="15" spans="1:49" s="356" customFormat="1" ht="15.75">
      <c r="A15" s="355"/>
      <c r="B15" s="419" t="s">
        <v>645</v>
      </c>
      <c r="C15" s="420"/>
      <c r="D15" s="421"/>
      <c r="E15" s="422">
        <f>SUM(F15:I15)</f>
        <v>120500000</v>
      </c>
      <c r="F15" s="422">
        <f>F22</f>
        <v>0</v>
      </c>
      <c r="G15" s="422">
        <f>G22</f>
        <v>25500000</v>
      </c>
      <c r="H15" s="423">
        <f>H22</f>
        <v>0</v>
      </c>
      <c r="I15" s="424">
        <f>I22</f>
        <v>95000000</v>
      </c>
      <c r="J15" s="425">
        <f>SUM(K15:N15)</f>
        <v>0</v>
      </c>
      <c r="K15" s="426">
        <f>K22</f>
        <v>0</v>
      </c>
      <c r="L15" s="426">
        <f>L22</f>
        <v>0</v>
      </c>
      <c r="M15" s="427">
        <f>M22</f>
        <v>0</v>
      </c>
      <c r="N15" s="428">
        <f>N22</f>
        <v>0</v>
      </c>
      <c r="O15" s="422">
        <f>SUM(P15:S15)</f>
        <v>120500000</v>
      </c>
      <c r="P15" s="429">
        <f>P22</f>
        <v>0</v>
      </c>
      <c r="Q15" s="422">
        <f>Q22</f>
        <v>25500000</v>
      </c>
      <c r="R15" s="422">
        <f>R22</f>
        <v>0</v>
      </c>
      <c r="S15" s="424">
        <f>S22</f>
        <v>95000000</v>
      </c>
      <c r="T15" s="425">
        <f>SUM(U15:X15)</f>
        <v>0</v>
      </c>
      <c r="U15" s="426">
        <f>U22</f>
        <v>0</v>
      </c>
      <c r="V15" s="426">
        <f>V22</f>
        <v>0</v>
      </c>
      <c r="W15" s="427">
        <f>W22</f>
        <v>0</v>
      </c>
      <c r="X15" s="428">
        <f>X22</f>
        <v>0</v>
      </c>
      <c r="Y15" s="429">
        <f aca="true" t="shared" si="0" ref="Y15:Y22">SUM(Z15:AC15)</f>
        <v>120500000</v>
      </c>
      <c r="Z15" s="429">
        <f>Z22</f>
        <v>0</v>
      </c>
      <c r="AA15" s="429">
        <f>AA22</f>
        <v>25500000</v>
      </c>
      <c r="AB15" s="429">
        <f>AB22</f>
        <v>0</v>
      </c>
      <c r="AC15" s="430">
        <f>AC22</f>
        <v>95000000</v>
      </c>
      <c r="AD15" s="425">
        <f>SUM(AE15:AH15)</f>
        <v>70000000</v>
      </c>
      <c r="AE15" s="426">
        <f>AE22</f>
        <v>0</v>
      </c>
      <c r="AF15" s="426">
        <f>AF22</f>
        <v>-25500000</v>
      </c>
      <c r="AG15" s="427">
        <f>AG22</f>
        <v>43500000</v>
      </c>
      <c r="AH15" s="428">
        <f>AH22</f>
        <v>52000000</v>
      </c>
      <c r="AI15" s="429">
        <f aca="true" t="shared" si="1" ref="AI15:AI22">SUM(AJ15:AM15)</f>
        <v>190500000</v>
      </c>
      <c r="AJ15" s="429">
        <f>AJ22</f>
        <v>0</v>
      </c>
      <c r="AK15" s="429">
        <f>AK22</f>
        <v>0</v>
      </c>
      <c r="AL15" s="429">
        <f>AL22</f>
        <v>43500000</v>
      </c>
      <c r="AM15" s="430">
        <f>AM22</f>
        <v>147000000</v>
      </c>
      <c r="AN15" s="425">
        <f>SUM(AO15:AR15)</f>
        <v>0</v>
      </c>
      <c r="AO15" s="426">
        <f>AO22</f>
        <v>0</v>
      </c>
      <c r="AP15" s="426">
        <f>AP22</f>
        <v>0</v>
      </c>
      <c r="AQ15" s="427">
        <f>AQ22</f>
        <v>0</v>
      </c>
      <c r="AR15" s="428">
        <f>AR22</f>
        <v>0</v>
      </c>
      <c r="AS15" s="429">
        <f aca="true" t="shared" si="2" ref="AS15:AS22">SUM(AT15:AW15)</f>
        <v>190500000</v>
      </c>
      <c r="AT15" s="429">
        <f>AT22</f>
        <v>0</v>
      </c>
      <c r="AU15" s="429">
        <f>AU22</f>
        <v>0</v>
      </c>
      <c r="AV15" s="429">
        <f>AV22</f>
        <v>43500000</v>
      </c>
      <c r="AW15" s="430">
        <f>AW22</f>
        <v>147000000</v>
      </c>
    </row>
    <row r="16" spans="1:49" s="358" customFormat="1" ht="15" customHeight="1" hidden="1">
      <c r="A16" s="357"/>
      <c r="B16" s="431" t="s">
        <v>662</v>
      </c>
      <c r="C16" s="432"/>
      <c r="D16" s="433"/>
      <c r="E16" s="422">
        <f aca="true" t="shared" si="3" ref="E16:E84">SUM(F16:I16)</f>
        <v>0</v>
      </c>
      <c r="F16" s="422">
        <f>F18</f>
        <v>0</v>
      </c>
      <c r="G16" s="422">
        <f>G18</f>
        <v>0</v>
      </c>
      <c r="H16" s="423">
        <f>H18</f>
        <v>0</v>
      </c>
      <c r="I16" s="424">
        <f>I18</f>
        <v>0</v>
      </c>
      <c r="J16" s="425">
        <f>SUM(K16:M16)</f>
        <v>0</v>
      </c>
      <c r="K16" s="426">
        <f>K18</f>
        <v>0</v>
      </c>
      <c r="L16" s="426">
        <f>L18</f>
        <v>0</v>
      </c>
      <c r="M16" s="427">
        <f>M18</f>
        <v>0</v>
      </c>
      <c r="N16" s="428">
        <f>N18</f>
        <v>0</v>
      </c>
      <c r="O16" s="422">
        <f aca="true" t="shared" si="4" ref="O16:O32">SUM(P16:S16)</f>
        <v>0</v>
      </c>
      <c r="P16" s="429">
        <f>P18</f>
        <v>0</v>
      </c>
      <c r="Q16" s="422">
        <f>Q18</f>
        <v>0</v>
      </c>
      <c r="R16" s="422">
        <f>R18</f>
        <v>0</v>
      </c>
      <c r="S16" s="424">
        <f>S18</f>
        <v>0</v>
      </c>
      <c r="T16" s="425">
        <f>SUM(U16:W16)</f>
        <v>0</v>
      </c>
      <c r="U16" s="426">
        <f>U18</f>
        <v>0</v>
      </c>
      <c r="V16" s="426">
        <f>V18</f>
        <v>0</v>
      </c>
      <c r="W16" s="427">
        <f>W18</f>
        <v>0</v>
      </c>
      <c r="X16" s="428">
        <f>X18</f>
        <v>0</v>
      </c>
      <c r="Y16" s="429">
        <f t="shared" si="0"/>
        <v>0</v>
      </c>
      <c r="Z16" s="429">
        <f>Z18</f>
        <v>0</v>
      </c>
      <c r="AA16" s="429">
        <f>AA18</f>
        <v>0</v>
      </c>
      <c r="AB16" s="429">
        <f>AB18</f>
        <v>0</v>
      </c>
      <c r="AC16" s="430">
        <f>AC18</f>
        <v>0</v>
      </c>
      <c r="AD16" s="425">
        <f>SUM(AE16:AG16)</f>
        <v>0</v>
      </c>
      <c r="AE16" s="426">
        <f>AE18</f>
        <v>0</v>
      </c>
      <c r="AF16" s="426">
        <f>AF18</f>
        <v>0</v>
      </c>
      <c r="AG16" s="427">
        <f>AG18</f>
        <v>0</v>
      </c>
      <c r="AH16" s="428">
        <f>AH18</f>
        <v>0</v>
      </c>
      <c r="AI16" s="429">
        <f t="shared" si="1"/>
        <v>0</v>
      </c>
      <c r="AJ16" s="429">
        <f>AJ18</f>
        <v>0</v>
      </c>
      <c r="AK16" s="429">
        <f>AK18</f>
        <v>0</v>
      </c>
      <c r="AL16" s="429">
        <f>AL18</f>
        <v>0</v>
      </c>
      <c r="AM16" s="430">
        <f>AM18</f>
        <v>0</v>
      </c>
      <c r="AN16" s="425">
        <f>SUM(AO16:AQ16)</f>
        <v>0</v>
      </c>
      <c r="AO16" s="426">
        <f>AO18</f>
        <v>0</v>
      </c>
      <c r="AP16" s="426">
        <f>AP18</f>
        <v>0</v>
      </c>
      <c r="AQ16" s="427">
        <f>AQ18</f>
        <v>0</v>
      </c>
      <c r="AR16" s="428">
        <f>AR18</f>
        <v>0</v>
      </c>
      <c r="AS16" s="429">
        <f t="shared" si="2"/>
        <v>0</v>
      </c>
      <c r="AT16" s="429">
        <f>AT18</f>
        <v>0</v>
      </c>
      <c r="AU16" s="429">
        <f>AU18</f>
        <v>0</v>
      </c>
      <c r="AV16" s="429">
        <f>AV18</f>
        <v>0</v>
      </c>
      <c r="AW16" s="430">
        <f>AW18</f>
        <v>0</v>
      </c>
    </row>
    <row r="17" spans="1:49" s="360" customFormat="1" ht="15" customHeight="1" hidden="1">
      <c r="A17" s="359"/>
      <c r="B17" s="434" t="s">
        <v>396</v>
      </c>
      <c r="C17" s="435"/>
      <c r="D17" s="436"/>
      <c r="E17" s="437">
        <f t="shared" si="3"/>
        <v>0</v>
      </c>
      <c r="F17" s="437"/>
      <c r="G17" s="437"/>
      <c r="H17" s="438"/>
      <c r="I17" s="439"/>
      <c r="J17" s="440"/>
      <c r="K17" s="441"/>
      <c r="L17" s="442"/>
      <c r="M17" s="443"/>
      <c r="N17" s="444"/>
      <c r="O17" s="437">
        <f t="shared" si="4"/>
        <v>0</v>
      </c>
      <c r="P17" s="687"/>
      <c r="Q17" s="437"/>
      <c r="R17" s="437"/>
      <c r="S17" s="439"/>
      <c r="T17" s="440"/>
      <c r="U17" s="441"/>
      <c r="V17" s="442"/>
      <c r="W17" s="443"/>
      <c r="X17" s="444"/>
      <c r="Y17" s="687">
        <f t="shared" si="0"/>
        <v>0</v>
      </c>
      <c r="Z17" s="687"/>
      <c r="AA17" s="687"/>
      <c r="AB17" s="687"/>
      <c r="AC17" s="706"/>
      <c r="AD17" s="440"/>
      <c r="AE17" s="441"/>
      <c r="AF17" s="442"/>
      <c r="AG17" s="443"/>
      <c r="AH17" s="444"/>
      <c r="AI17" s="687">
        <f t="shared" si="1"/>
        <v>0</v>
      </c>
      <c r="AJ17" s="687"/>
      <c r="AK17" s="687"/>
      <c r="AL17" s="687"/>
      <c r="AM17" s="706"/>
      <c r="AN17" s="440"/>
      <c r="AO17" s="441"/>
      <c r="AP17" s="442"/>
      <c r="AQ17" s="443"/>
      <c r="AR17" s="444"/>
      <c r="AS17" s="687">
        <f t="shared" si="2"/>
        <v>0</v>
      </c>
      <c r="AT17" s="687"/>
      <c r="AU17" s="687"/>
      <c r="AV17" s="687"/>
      <c r="AW17" s="706"/>
    </row>
    <row r="18" spans="1:49" s="358" customFormat="1" ht="15" customHeight="1" hidden="1">
      <c r="A18" s="357"/>
      <c r="B18" s="431" t="s">
        <v>647</v>
      </c>
      <c r="C18" s="432"/>
      <c r="D18" s="433"/>
      <c r="E18" s="422">
        <f t="shared" si="3"/>
        <v>0</v>
      </c>
      <c r="F18" s="422">
        <f aca="true" t="shared" si="5" ref="F18:I19">F19</f>
        <v>0</v>
      </c>
      <c r="G18" s="422">
        <f t="shared" si="5"/>
        <v>0</v>
      </c>
      <c r="H18" s="423">
        <f t="shared" si="5"/>
        <v>0</v>
      </c>
      <c r="I18" s="424">
        <f t="shared" si="5"/>
        <v>0</v>
      </c>
      <c r="J18" s="425">
        <f>SUM(K18:M18)</f>
        <v>0</v>
      </c>
      <c r="K18" s="426">
        <f aca="true" t="shared" si="6" ref="K18:Z19">K19</f>
        <v>0</v>
      </c>
      <c r="L18" s="426">
        <f t="shared" si="6"/>
        <v>0</v>
      </c>
      <c r="M18" s="427">
        <f t="shared" si="6"/>
        <v>0</v>
      </c>
      <c r="N18" s="428">
        <f t="shared" si="6"/>
        <v>0</v>
      </c>
      <c r="O18" s="422">
        <f t="shared" si="4"/>
        <v>0</v>
      </c>
      <c r="P18" s="429">
        <f t="shared" si="6"/>
        <v>0</v>
      </c>
      <c r="Q18" s="422">
        <f t="shared" si="6"/>
        <v>0</v>
      </c>
      <c r="R18" s="422">
        <f t="shared" si="6"/>
        <v>0</v>
      </c>
      <c r="S18" s="424">
        <f t="shared" si="6"/>
        <v>0</v>
      </c>
      <c r="T18" s="425">
        <f>SUM(U18:W18)</f>
        <v>0</v>
      </c>
      <c r="U18" s="426">
        <f t="shared" si="6"/>
        <v>0</v>
      </c>
      <c r="V18" s="426">
        <f t="shared" si="6"/>
        <v>0</v>
      </c>
      <c r="W18" s="427">
        <f t="shared" si="6"/>
        <v>0</v>
      </c>
      <c r="X18" s="428">
        <f t="shared" si="6"/>
        <v>0</v>
      </c>
      <c r="Y18" s="429">
        <f t="shared" si="0"/>
        <v>0</v>
      </c>
      <c r="Z18" s="429">
        <f t="shared" si="6"/>
        <v>0</v>
      </c>
      <c r="AA18" s="429">
        <f aca="true" t="shared" si="7" ref="U18:AC19">AA19</f>
        <v>0</v>
      </c>
      <c r="AB18" s="429">
        <f t="shared" si="7"/>
        <v>0</v>
      </c>
      <c r="AC18" s="430">
        <f t="shared" si="7"/>
        <v>0</v>
      </c>
      <c r="AD18" s="425">
        <f>SUM(AE18:AG18)</f>
        <v>0</v>
      </c>
      <c r="AE18" s="426">
        <f aca="true" t="shared" si="8" ref="AE18:AT19">AE19</f>
        <v>0</v>
      </c>
      <c r="AF18" s="426">
        <f t="shared" si="8"/>
        <v>0</v>
      </c>
      <c r="AG18" s="427">
        <f t="shared" si="8"/>
        <v>0</v>
      </c>
      <c r="AH18" s="428">
        <f t="shared" si="8"/>
        <v>0</v>
      </c>
      <c r="AI18" s="429">
        <f t="shared" si="1"/>
        <v>0</v>
      </c>
      <c r="AJ18" s="429">
        <f t="shared" si="8"/>
        <v>0</v>
      </c>
      <c r="AK18" s="429">
        <f t="shared" si="8"/>
        <v>0</v>
      </c>
      <c r="AL18" s="429">
        <f t="shared" si="8"/>
        <v>0</v>
      </c>
      <c r="AM18" s="430">
        <f t="shared" si="8"/>
        <v>0</v>
      </c>
      <c r="AN18" s="425">
        <f>SUM(AO18:AQ18)</f>
        <v>0</v>
      </c>
      <c r="AO18" s="426">
        <f t="shared" si="8"/>
        <v>0</v>
      </c>
      <c r="AP18" s="426">
        <f t="shared" si="8"/>
        <v>0</v>
      </c>
      <c r="AQ18" s="427">
        <f t="shared" si="8"/>
        <v>0</v>
      </c>
      <c r="AR18" s="428">
        <f t="shared" si="8"/>
        <v>0</v>
      </c>
      <c r="AS18" s="429">
        <f t="shared" si="2"/>
        <v>0</v>
      </c>
      <c r="AT18" s="429">
        <f t="shared" si="8"/>
        <v>0</v>
      </c>
      <c r="AU18" s="429">
        <f aca="true" t="shared" si="9" ref="AO18:AW19">AU19</f>
        <v>0</v>
      </c>
      <c r="AV18" s="429">
        <f t="shared" si="9"/>
        <v>0</v>
      </c>
      <c r="AW18" s="430">
        <f t="shared" si="9"/>
        <v>0</v>
      </c>
    </row>
    <row r="19" spans="1:49" s="362" customFormat="1" ht="15" customHeight="1" hidden="1">
      <c r="A19" s="361"/>
      <c r="B19" s="445">
        <v>758</v>
      </c>
      <c r="C19" s="446"/>
      <c r="D19" s="447" t="s">
        <v>294</v>
      </c>
      <c r="E19" s="448">
        <f t="shared" si="3"/>
        <v>0</v>
      </c>
      <c r="F19" s="448">
        <f t="shared" si="5"/>
        <v>0</v>
      </c>
      <c r="G19" s="448">
        <f t="shared" si="5"/>
        <v>0</v>
      </c>
      <c r="H19" s="449">
        <f t="shared" si="5"/>
        <v>0</v>
      </c>
      <c r="I19" s="450">
        <f t="shared" si="5"/>
        <v>0</v>
      </c>
      <c r="J19" s="451">
        <f>SUM(K19:M19)</f>
        <v>0</v>
      </c>
      <c r="K19" s="452">
        <f t="shared" si="6"/>
        <v>0</v>
      </c>
      <c r="L19" s="452">
        <f t="shared" si="6"/>
        <v>0</v>
      </c>
      <c r="M19" s="453">
        <f t="shared" si="6"/>
        <v>0</v>
      </c>
      <c r="N19" s="454">
        <f t="shared" si="6"/>
        <v>0</v>
      </c>
      <c r="O19" s="448">
        <f t="shared" si="4"/>
        <v>0</v>
      </c>
      <c r="P19" s="455">
        <f t="shared" si="6"/>
        <v>0</v>
      </c>
      <c r="Q19" s="448">
        <f t="shared" si="6"/>
        <v>0</v>
      </c>
      <c r="R19" s="448">
        <f t="shared" si="6"/>
        <v>0</v>
      </c>
      <c r="S19" s="450">
        <f t="shared" si="6"/>
        <v>0</v>
      </c>
      <c r="T19" s="451">
        <f>SUM(U19:W19)</f>
        <v>0</v>
      </c>
      <c r="U19" s="452">
        <f t="shared" si="7"/>
        <v>0</v>
      </c>
      <c r="V19" s="452">
        <f t="shared" si="7"/>
        <v>0</v>
      </c>
      <c r="W19" s="453">
        <f t="shared" si="7"/>
        <v>0</v>
      </c>
      <c r="X19" s="454">
        <f t="shared" si="7"/>
        <v>0</v>
      </c>
      <c r="Y19" s="455">
        <f t="shared" si="0"/>
        <v>0</v>
      </c>
      <c r="Z19" s="455">
        <f t="shared" si="7"/>
        <v>0</v>
      </c>
      <c r="AA19" s="455">
        <f t="shared" si="7"/>
        <v>0</v>
      </c>
      <c r="AB19" s="455">
        <f t="shared" si="7"/>
        <v>0</v>
      </c>
      <c r="AC19" s="456">
        <f t="shared" si="7"/>
        <v>0</v>
      </c>
      <c r="AD19" s="451">
        <f>SUM(AE19:AG19)</f>
        <v>0</v>
      </c>
      <c r="AE19" s="452">
        <f t="shared" si="8"/>
        <v>0</v>
      </c>
      <c r="AF19" s="452">
        <f t="shared" si="8"/>
        <v>0</v>
      </c>
      <c r="AG19" s="453">
        <f t="shared" si="8"/>
        <v>0</v>
      </c>
      <c r="AH19" s="454">
        <f t="shared" si="8"/>
        <v>0</v>
      </c>
      <c r="AI19" s="455">
        <f t="shared" si="1"/>
        <v>0</v>
      </c>
      <c r="AJ19" s="455">
        <f t="shared" si="8"/>
        <v>0</v>
      </c>
      <c r="AK19" s="455">
        <f t="shared" si="8"/>
        <v>0</v>
      </c>
      <c r="AL19" s="455">
        <f t="shared" si="8"/>
        <v>0</v>
      </c>
      <c r="AM19" s="456">
        <f t="shared" si="8"/>
        <v>0</v>
      </c>
      <c r="AN19" s="451">
        <f>SUM(AO19:AQ19)</f>
        <v>0</v>
      </c>
      <c r="AO19" s="452">
        <f t="shared" si="9"/>
        <v>0</v>
      </c>
      <c r="AP19" s="452">
        <f t="shared" si="9"/>
        <v>0</v>
      </c>
      <c r="AQ19" s="453">
        <f t="shared" si="9"/>
        <v>0</v>
      </c>
      <c r="AR19" s="454">
        <f t="shared" si="9"/>
        <v>0</v>
      </c>
      <c r="AS19" s="455">
        <f t="shared" si="2"/>
        <v>0</v>
      </c>
      <c r="AT19" s="455">
        <f t="shared" si="9"/>
        <v>0</v>
      </c>
      <c r="AU19" s="455">
        <f t="shared" si="9"/>
        <v>0</v>
      </c>
      <c r="AV19" s="455">
        <f t="shared" si="9"/>
        <v>0</v>
      </c>
      <c r="AW19" s="456">
        <f t="shared" si="9"/>
        <v>0</v>
      </c>
    </row>
    <row r="20" spans="1:49" s="362" customFormat="1" ht="15" customHeight="1" hidden="1">
      <c r="A20" s="361"/>
      <c r="B20" s="457">
        <v>75816</v>
      </c>
      <c r="C20" s="458"/>
      <c r="D20" s="459" t="s">
        <v>652</v>
      </c>
      <c r="E20" s="460">
        <f t="shared" si="3"/>
        <v>0</v>
      </c>
      <c r="F20" s="460"/>
      <c r="G20" s="460"/>
      <c r="H20" s="461"/>
      <c r="I20" s="462"/>
      <c r="J20" s="463">
        <f>SUM(K20:M20)</f>
        <v>0</v>
      </c>
      <c r="K20" s="464"/>
      <c r="L20" s="464"/>
      <c r="M20" s="465"/>
      <c r="N20" s="466"/>
      <c r="O20" s="460">
        <f t="shared" si="4"/>
        <v>0</v>
      </c>
      <c r="P20" s="467"/>
      <c r="Q20" s="460"/>
      <c r="R20" s="460"/>
      <c r="S20" s="462"/>
      <c r="T20" s="463">
        <f>SUM(U20:W20)</f>
        <v>0</v>
      </c>
      <c r="U20" s="464"/>
      <c r="V20" s="464"/>
      <c r="W20" s="465"/>
      <c r="X20" s="466"/>
      <c r="Y20" s="467">
        <f t="shared" si="0"/>
        <v>0</v>
      </c>
      <c r="Z20" s="467"/>
      <c r="AA20" s="467"/>
      <c r="AB20" s="467"/>
      <c r="AC20" s="707"/>
      <c r="AD20" s="463">
        <f>SUM(AE20:AG20)</f>
        <v>0</v>
      </c>
      <c r="AE20" s="464"/>
      <c r="AF20" s="464"/>
      <c r="AG20" s="465"/>
      <c r="AH20" s="466"/>
      <c r="AI20" s="467">
        <f t="shared" si="1"/>
        <v>0</v>
      </c>
      <c r="AJ20" s="467"/>
      <c r="AK20" s="467"/>
      <c r="AL20" s="467"/>
      <c r="AM20" s="707"/>
      <c r="AN20" s="463">
        <f>SUM(AO20:AQ20)</f>
        <v>0</v>
      </c>
      <c r="AO20" s="464"/>
      <c r="AP20" s="464"/>
      <c r="AQ20" s="465"/>
      <c r="AR20" s="466"/>
      <c r="AS20" s="467">
        <f t="shared" si="2"/>
        <v>0</v>
      </c>
      <c r="AT20" s="467"/>
      <c r="AU20" s="467"/>
      <c r="AV20" s="467"/>
      <c r="AW20" s="707"/>
    </row>
    <row r="21" spans="1:49" s="362" customFormat="1" ht="15" customHeight="1" hidden="1">
      <c r="A21" s="361"/>
      <c r="B21" s="468" t="s">
        <v>658</v>
      </c>
      <c r="C21" s="469" t="s">
        <v>650</v>
      </c>
      <c r="D21" s="470" t="s">
        <v>651</v>
      </c>
      <c r="E21" s="471">
        <f t="shared" si="3"/>
        <v>0</v>
      </c>
      <c r="F21" s="471"/>
      <c r="G21" s="471"/>
      <c r="H21" s="472"/>
      <c r="I21" s="473"/>
      <c r="J21" s="474"/>
      <c r="K21" s="475"/>
      <c r="L21" s="475"/>
      <c r="M21" s="476"/>
      <c r="N21" s="477"/>
      <c r="O21" s="471">
        <f t="shared" si="4"/>
        <v>0</v>
      </c>
      <c r="P21" s="478"/>
      <c r="Q21" s="471"/>
      <c r="R21" s="471"/>
      <c r="S21" s="473"/>
      <c r="T21" s="474"/>
      <c r="U21" s="475"/>
      <c r="V21" s="475"/>
      <c r="W21" s="476"/>
      <c r="X21" s="477"/>
      <c r="Y21" s="478">
        <f t="shared" si="0"/>
        <v>0</v>
      </c>
      <c r="Z21" s="478"/>
      <c r="AA21" s="478"/>
      <c r="AB21" s="478"/>
      <c r="AC21" s="708"/>
      <c r="AD21" s="474"/>
      <c r="AE21" s="475"/>
      <c r="AF21" s="475"/>
      <c r="AG21" s="476"/>
      <c r="AH21" s="477"/>
      <c r="AI21" s="478">
        <f t="shared" si="1"/>
        <v>0</v>
      </c>
      <c r="AJ21" s="478"/>
      <c r="AK21" s="478"/>
      <c r="AL21" s="478"/>
      <c r="AM21" s="708"/>
      <c r="AN21" s="474"/>
      <c r="AO21" s="475"/>
      <c r="AP21" s="475"/>
      <c r="AQ21" s="476"/>
      <c r="AR21" s="477"/>
      <c r="AS21" s="478">
        <f t="shared" si="2"/>
        <v>0</v>
      </c>
      <c r="AT21" s="478"/>
      <c r="AU21" s="478"/>
      <c r="AV21" s="478"/>
      <c r="AW21" s="708"/>
    </row>
    <row r="22" spans="1:49" s="358" customFormat="1" ht="15">
      <c r="A22" s="357"/>
      <c r="B22" s="431" t="s">
        <v>649</v>
      </c>
      <c r="C22" s="432"/>
      <c r="D22" s="433"/>
      <c r="E22" s="422">
        <f t="shared" si="3"/>
        <v>120500000</v>
      </c>
      <c r="F22" s="422">
        <f>F24</f>
        <v>0</v>
      </c>
      <c r="G22" s="422">
        <f>G24</f>
        <v>25500000</v>
      </c>
      <c r="H22" s="423">
        <f>H24</f>
        <v>0</v>
      </c>
      <c r="I22" s="424">
        <f>I24</f>
        <v>95000000</v>
      </c>
      <c r="J22" s="425">
        <f>SUM(K22:M22)</f>
        <v>0</v>
      </c>
      <c r="K22" s="426">
        <f>K24</f>
        <v>0</v>
      </c>
      <c r="L22" s="426">
        <f>L24</f>
        <v>0</v>
      </c>
      <c r="M22" s="427">
        <f>M24</f>
        <v>0</v>
      </c>
      <c r="N22" s="428">
        <f>N24</f>
        <v>0</v>
      </c>
      <c r="O22" s="422">
        <f t="shared" si="4"/>
        <v>120500000</v>
      </c>
      <c r="P22" s="429">
        <f>P24</f>
        <v>0</v>
      </c>
      <c r="Q22" s="422">
        <f>Q24</f>
        <v>25500000</v>
      </c>
      <c r="R22" s="422">
        <f>R24</f>
        <v>0</v>
      </c>
      <c r="S22" s="424">
        <f>S24</f>
        <v>95000000</v>
      </c>
      <c r="T22" s="425">
        <f>SUM(U22:W22)</f>
        <v>0</v>
      </c>
      <c r="U22" s="426">
        <f>U24</f>
        <v>0</v>
      </c>
      <c r="V22" s="426">
        <f>V24</f>
        <v>0</v>
      </c>
      <c r="W22" s="427">
        <f>W24</f>
        <v>0</v>
      </c>
      <c r="X22" s="428">
        <f>X24</f>
        <v>0</v>
      </c>
      <c r="Y22" s="429">
        <f t="shared" si="0"/>
        <v>120500000</v>
      </c>
      <c r="Z22" s="429">
        <f>Z24</f>
        <v>0</v>
      </c>
      <c r="AA22" s="429">
        <f>AA24</f>
        <v>25500000</v>
      </c>
      <c r="AB22" s="429">
        <f>AB24</f>
        <v>0</v>
      </c>
      <c r="AC22" s="430">
        <f>AC24</f>
        <v>95000000</v>
      </c>
      <c r="AD22" s="425">
        <f>SUM(AE22:AG22)</f>
        <v>18000000</v>
      </c>
      <c r="AE22" s="426">
        <f>AE24</f>
        <v>0</v>
      </c>
      <c r="AF22" s="426">
        <f>AF24</f>
        <v>-25500000</v>
      </c>
      <c r="AG22" s="427">
        <f>AG24</f>
        <v>43500000</v>
      </c>
      <c r="AH22" s="428">
        <f>AH24</f>
        <v>52000000</v>
      </c>
      <c r="AI22" s="429">
        <f t="shared" si="1"/>
        <v>190500000</v>
      </c>
      <c r="AJ22" s="429">
        <f>AJ24</f>
        <v>0</v>
      </c>
      <c r="AK22" s="429">
        <f>AK24</f>
        <v>0</v>
      </c>
      <c r="AL22" s="429">
        <f>AL24</f>
        <v>43500000</v>
      </c>
      <c r="AM22" s="430">
        <f>AM24</f>
        <v>147000000</v>
      </c>
      <c r="AN22" s="425">
        <f>SUM(AO22:AQ22)</f>
        <v>0</v>
      </c>
      <c r="AO22" s="426">
        <f>AO24</f>
        <v>0</v>
      </c>
      <c r="AP22" s="426">
        <f>AP24</f>
        <v>0</v>
      </c>
      <c r="AQ22" s="427">
        <f>AQ24</f>
        <v>0</v>
      </c>
      <c r="AR22" s="428">
        <f>AR24</f>
        <v>0</v>
      </c>
      <c r="AS22" s="429">
        <f t="shared" si="2"/>
        <v>190500000</v>
      </c>
      <c r="AT22" s="429">
        <f>AT24</f>
        <v>0</v>
      </c>
      <c r="AU22" s="429">
        <f>AU24</f>
        <v>0</v>
      </c>
      <c r="AV22" s="429">
        <f>AV24</f>
        <v>43500000</v>
      </c>
      <c r="AW22" s="430">
        <f>AW24</f>
        <v>147000000</v>
      </c>
    </row>
    <row r="23" spans="1:49" s="360" customFormat="1" ht="12.75">
      <c r="A23" s="359"/>
      <c r="B23" s="479" t="s">
        <v>396</v>
      </c>
      <c r="C23" s="480"/>
      <c r="D23" s="481"/>
      <c r="E23" s="482"/>
      <c r="F23" s="482"/>
      <c r="G23" s="482"/>
      <c r="H23" s="482"/>
      <c r="I23" s="483"/>
      <c r="J23" s="484"/>
      <c r="K23" s="485"/>
      <c r="L23" s="486"/>
      <c r="M23" s="487"/>
      <c r="N23" s="488"/>
      <c r="O23" s="482"/>
      <c r="P23" s="688"/>
      <c r="Q23" s="699"/>
      <c r="R23" s="699"/>
      <c r="S23" s="700"/>
      <c r="T23" s="484"/>
      <c r="U23" s="485"/>
      <c r="V23" s="486"/>
      <c r="W23" s="487"/>
      <c r="X23" s="488"/>
      <c r="Y23" s="709"/>
      <c r="Z23" s="688"/>
      <c r="AA23" s="688"/>
      <c r="AB23" s="688"/>
      <c r="AC23" s="710"/>
      <c r="AD23" s="484"/>
      <c r="AE23" s="485"/>
      <c r="AF23" s="486"/>
      <c r="AG23" s="487"/>
      <c r="AH23" s="488"/>
      <c r="AI23" s="709"/>
      <c r="AJ23" s="688"/>
      <c r="AK23" s="688"/>
      <c r="AL23" s="688"/>
      <c r="AM23" s="710"/>
      <c r="AN23" s="484"/>
      <c r="AO23" s="485"/>
      <c r="AP23" s="486"/>
      <c r="AQ23" s="487"/>
      <c r="AR23" s="488"/>
      <c r="AS23" s="709"/>
      <c r="AT23" s="688"/>
      <c r="AU23" s="688"/>
      <c r="AV23" s="688"/>
      <c r="AW23" s="710"/>
    </row>
    <row r="24" spans="1:49" s="358" customFormat="1" ht="15">
      <c r="A24" s="357"/>
      <c r="B24" s="489" t="s">
        <v>647</v>
      </c>
      <c r="C24" s="490"/>
      <c r="D24" s="491"/>
      <c r="E24" s="492">
        <f t="shared" si="3"/>
        <v>120500000</v>
      </c>
      <c r="F24" s="492">
        <f aca="true" t="shared" si="10" ref="F24:I25">F25</f>
        <v>0</v>
      </c>
      <c r="G24" s="492">
        <f t="shared" si="10"/>
        <v>25500000</v>
      </c>
      <c r="H24" s="493">
        <f t="shared" si="10"/>
        <v>0</v>
      </c>
      <c r="I24" s="494">
        <f t="shared" si="10"/>
        <v>95000000</v>
      </c>
      <c r="J24" s="495">
        <f>SUM(K24:M24)</f>
        <v>0</v>
      </c>
      <c r="K24" s="496">
        <f>K25</f>
        <v>0</v>
      </c>
      <c r="L24" s="496">
        <f>L25+L28</f>
        <v>0</v>
      </c>
      <c r="M24" s="496">
        <f>M25+M28</f>
        <v>0</v>
      </c>
      <c r="N24" s="496">
        <f>N25+N28</f>
        <v>0</v>
      </c>
      <c r="O24" s="492">
        <f t="shared" si="4"/>
        <v>120500000</v>
      </c>
      <c r="P24" s="497">
        <f>F24+K24</f>
        <v>0</v>
      </c>
      <c r="Q24" s="492">
        <f>G24+L24</f>
        <v>25500000</v>
      </c>
      <c r="R24" s="492">
        <f>H24+M24</f>
        <v>0</v>
      </c>
      <c r="S24" s="494">
        <f>I24+N24</f>
        <v>95000000</v>
      </c>
      <c r="T24" s="495">
        <f>SUM(U24:W24)</f>
        <v>0</v>
      </c>
      <c r="U24" s="496">
        <f>U25</f>
        <v>0</v>
      </c>
      <c r="V24" s="496">
        <f>V25+V28</f>
        <v>0</v>
      </c>
      <c r="W24" s="496">
        <f>W25+W28</f>
        <v>0</v>
      </c>
      <c r="X24" s="496">
        <f>X25+X28</f>
        <v>0</v>
      </c>
      <c r="Y24" s="497">
        <f aca="true" t="shared" si="11" ref="Y24:Y32">SUM(Z24:AC24)</f>
        <v>120500000</v>
      </c>
      <c r="Z24" s="497">
        <f>P24+U24</f>
        <v>0</v>
      </c>
      <c r="AA24" s="497">
        <f>Q24+V24</f>
        <v>25500000</v>
      </c>
      <c r="AB24" s="497">
        <f>R24+W24</f>
        <v>0</v>
      </c>
      <c r="AC24" s="711">
        <f>S24+X24</f>
        <v>95000000</v>
      </c>
      <c r="AD24" s="495">
        <f>SUM(AE24:AG24)</f>
        <v>18000000</v>
      </c>
      <c r="AE24" s="496">
        <f>AE25</f>
        <v>0</v>
      </c>
      <c r="AF24" s="496">
        <f>AF25+AF28+AF33</f>
        <v>-25500000</v>
      </c>
      <c r="AG24" s="496">
        <f>AG25+AG28+AG33</f>
        <v>43500000</v>
      </c>
      <c r="AH24" s="496">
        <f>AH25+AH28+AH33</f>
        <v>52000000</v>
      </c>
      <c r="AI24" s="497">
        <f aca="true" t="shared" si="12" ref="AI24:AI32">SUM(AJ24:AM24)</f>
        <v>190500000</v>
      </c>
      <c r="AJ24" s="497">
        <f>Z24+AE24</f>
        <v>0</v>
      </c>
      <c r="AK24" s="497">
        <f>AA24+AF24</f>
        <v>0</v>
      </c>
      <c r="AL24" s="497">
        <f>AB24+AG24</f>
        <v>43500000</v>
      </c>
      <c r="AM24" s="711">
        <f>AC24+AH24</f>
        <v>147000000</v>
      </c>
      <c r="AN24" s="495">
        <f>SUM(AO24:AQ24)</f>
        <v>0</v>
      </c>
      <c r="AO24" s="496">
        <f>AO25</f>
        <v>0</v>
      </c>
      <c r="AP24" s="496">
        <f>AP25+AP28+AP33</f>
        <v>0</v>
      </c>
      <c r="AQ24" s="496">
        <f>AQ25+AQ28+AQ33</f>
        <v>0</v>
      </c>
      <c r="AR24" s="496">
        <f>AR25+AR28+AR33</f>
        <v>0</v>
      </c>
      <c r="AS24" s="497">
        <f aca="true" t="shared" si="13" ref="AS24:AS37">SUM(AT24:AW24)</f>
        <v>190500000</v>
      </c>
      <c r="AT24" s="497">
        <f>AJ24+AO24</f>
        <v>0</v>
      </c>
      <c r="AU24" s="497">
        <f>AK24+AP24</f>
        <v>0</v>
      </c>
      <c r="AV24" s="497">
        <f>AL24+AQ24</f>
        <v>43500000</v>
      </c>
      <c r="AW24" s="711">
        <f>AM24+AR24</f>
        <v>147000000</v>
      </c>
    </row>
    <row r="25" spans="1:49" s="362" customFormat="1" ht="12.75" hidden="1">
      <c r="A25" s="361"/>
      <c r="B25" s="445">
        <v>758</v>
      </c>
      <c r="C25" s="446"/>
      <c r="D25" s="447" t="s">
        <v>294</v>
      </c>
      <c r="E25" s="448">
        <f t="shared" si="3"/>
        <v>120500000</v>
      </c>
      <c r="F25" s="448">
        <f t="shared" si="10"/>
        <v>0</v>
      </c>
      <c r="G25" s="448">
        <f t="shared" si="10"/>
        <v>25500000</v>
      </c>
      <c r="H25" s="449">
        <f t="shared" si="10"/>
        <v>0</v>
      </c>
      <c r="I25" s="450">
        <f t="shared" si="10"/>
        <v>95000000</v>
      </c>
      <c r="J25" s="451">
        <f>SUM(K25:M25)</f>
        <v>-25500000</v>
      </c>
      <c r="K25" s="452">
        <f>K26</f>
        <v>0</v>
      </c>
      <c r="L25" s="452">
        <f aca="true" t="shared" si="14" ref="L25:N26">L26</f>
        <v>-25500000</v>
      </c>
      <c r="M25" s="453">
        <f t="shared" si="14"/>
        <v>0</v>
      </c>
      <c r="N25" s="454">
        <f t="shared" si="14"/>
        <v>-95000000</v>
      </c>
      <c r="O25" s="448">
        <f t="shared" si="4"/>
        <v>0</v>
      </c>
      <c r="P25" s="455">
        <f aca="true" t="shared" si="15" ref="P25:S26">P26</f>
        <v>0</v>
      </c>
      <c r="Q25" s="448">
        <f t="shared" si="15"/>
        <v>0</v>
      </c>
      <c r="R25" s="448">
        <f t="shared" si="15"/>
        <v>0</v>
      </c>
      <c r="S25" s="450">
        <f t="shared" si="15"/>
        <v>0</v>
      </c>
      <c r="T25" s="451">
        <f>SUM(U25:W25)</f>
        <v>0</v>
      </c>
      <c r="U25" s="452">
        <f>U26</f>
        <v>0</v>
      </c>
      <c r="V25" s="452">
        <f aca="true" t="shared" si="16" ref="V25:X26">V26</f>
        <v>0</v>
      </c>
      <c r="W25" s="453">
        <f t="shared" si="16"/>
        <v>0</v>
      </c>
      <c r="X25" s="454">
        <f t="shared" si="16"/>
        <v>0</v>
      </c>
      <c r="Y25" s="455">
        <f t="shared" si="11"/>
        <v>0</v>
      </c>
      <c r="Z25" s="455">
        <f aca="true" t="shared" si="17" ref="Z25:AC26">Z26</f>
        <v>0</v>
      </c>
      <c r="AA25" s="455">
        <f t="shared" si="17"/>
        <v>0</v>
      </c>
      <c r="AB25" s="455">
        <f t="shared" si="17"/>
        <v>0</v>
      </c>
      <c r="AC25" s="456">
        <f t="shared" si="17"/>
        <v>0</v>
      </c>
      <c r="AD25" s="451">
        <f>SUM(AE25:AG25)</f>
        <v>0</v>
      </c>
      <c r="AE25" s="452">
        <f>AE26</f>
        <v>0</v>
      </c>
      <c r="AF25" s="452">
        <f aca="true" t="shared" si="18" ref="AF25:AH26">AF26</f>
        <v>0</v>
      </c>
      <c r="AG25" s="453">
        <f t="shared" si="18"/>
        <v>0</v>
      </c>
      <c r="AH25" s="454">
        <f t="shared" si="18"/>
        <v>0</v>
      </c>
      <c r="AI25" s="455">
        <f t="shared" si="12"/>
        <v>0</v>
      </c>
      <c r="AJ25" s="455">
        <f aca="true" t="shared" si="19" ref="AJ25:AM26">AJ26</f>
        <v>0</v>
      </c>
      <c r="AK25" s="455">
        <f t="shared" si="19"/>
        <v>0</v>
      </c>
      <c r="AL25" s="455">
        <f t="shared" si="19"/>
        <v>0</v>
      </c>
      <c r="AM25" s="456">
        <f t="shared" si="19"/>
        <v>0</v>
      </c>
      <c r="AN25" s="451">
        <f>SUM(AO25:AQ25)</f>
        <v>0</v>
      </c>
      <c r="AO25" s="452">
        <f>AO26</f>
        <v>0</v>
      </c>
      <c r="AP25" s="452">
        <f aca="true" t="shared" si="20" ref="AP25:AR26">AP26</f>
        <v>0</v>
      </c>
      <c r="AQ25" s="453">
        <f t="shared" si="20"/>
        <v>0</v>
      </c>
      <c r="AR25" s="454">
        <f t="shared" si="20"/>
        <v>0</v>
      </c>
      <c r="AS25" s="455">
        <f t="shared" si="13"/>
        <v>0</v>
      </c>
      <c r="AT25" s="455">
        <f aca="true" t="shared" si="21" ref="AT25:AW26">AT26</f>
        <v>0</v>
      </c>
      <c r="AU25" s="455">
        <f t="shared" si="21"/>
        <v>0</v>
      </c>
      <c r="AV25" s="455">
        <f t="shared" si="21"/>
        <v>0</v>
      </c>
      <c r="AW25" s="456">
        <f t="shared" si="21"/>
        <v>0</v>
      </c>
    </row>
    <row r="26" spans="1:49" s="362" customFormat="1" ht="12.75" hidden="1">
      <c r="A26" s="361"/>
      <c r="B26" s="457">
        <v>75816</v>
      </c>
      <c r="C26" s="458"/>
      <c r="D26" s="459" t="s">
        <v>652</v>
      </c>
      <c r="E26" s="460">
        <f t="shared" si="3"/>
        <v>120500000</v>
      </c>
      <c r="F26" s="460">
        <f>F27</f>
        <v>0</v>
      </c>
      <c r="G26" s="460">
        <f>G27</f>
        <v>25500000</v>
      </c>
      <c r="H26" s="461">
        <f>H27</f>
        <v>0</v>
      </c>
      <c r="I26" s="462">
        <f>I27</f>
        <v>95000000</v>
      </c>
      <c r="J26" s="463">
        <f>SUM(K26:M26)</f>
        <v>-25500000</v>
      </c>
      <c r="K26" s="464">
        <f>K27</f>
        <v>0</v>
      </c>
      <c r="L26" s="464">
        <f t="shared" si="14"/>
        <v>-25500000</v>
      </c>
      <c r="M26" s="465">
        <f t="shared" si="14"/>
        <v>0</v>
      </c>
      <c r="N26" s="466">
        <f t="shared" si="14"/>
        <v>-95000000</v>
      </c>
      <c r="O26" s="460">
        <f t="shared" si="4"/>
        <v>0</v>
      </c>
      <c r="P26" s="467">
        <f t="shared" si="15"/>
        <v>0</v>
      </c>
      <c r="Q26" s="460">
        <f t="shared" si="15"/>
        <v>0</v>
      </c>
      <c r="R26" s="460">
        <f t="shared" si="15"/>
        <v>0</v>
      </c>
      <c r="S26" s="462">
        <f t="shared" si="15"/>
        <v>0</v>
      </c>
      <c r="T26" s="463">
        <f>SUM(U26:W26)</f>
        <v>0</v>
      </c>
      <c r="U26" s="464">
        <f>U27</f>
        <v>0</v>
      </c>
      <c r="V26" s="464">
        <f t="shared" si="16"/>
        <v>0</v>
      </c>
      <c r="W26" s="465">
        <f t="shared" si="16"/>
        <v>0</v>
      </c>
      <c r="X26" s="466">
        <f t="shared" si="16"/>
        <v>0</v>
      </c>
      <c r="Y26" s="467">
        <f t="shared" si="11"/>
        <v>0</v>
      </c>
      <c r="Z26" s="467">
        <f t="shared" si="17"/>
        <v>0</v>
      </c>
      <c r="AA26" s="467">
        <f t="shared" si="17"/>
        <v>0</v>
      </c>
      <c r="AB26" s="467">
        <f t="shared" si="17"/>
        <v>0</v>
      </c>
      <c r="AC26" s="707">
        <f t="shared" si="17"/>
        <v>0</v>
      </c>
      <c r="AD26" s="463">
        <f>SUM(AE26:AG26)</f>
        <v>0</v>
      </c>
      <c r="AE26" s="464">
        <f>AE27</f>
        <v>0</v>
      </c>
      <c r="AF26" s="464">
        <f t="shared" si="18"/>
        <v>0</v>
      </c>
      <c r="AG26" s="465">
        <f t="shared" si="18"/>
        <v>0</v>
      </c>
      <c r="AH26" s="466">
        <f t="shared" si="18"/>
        <v>0</v>
      </c>
      <c r="AI26" s="467">
        <f t="shared" si="12"/>
        <v>0</v>
      </c>
      <c r="AJ26" s="467">
        <f t="shared" si="19"/>
        <v>0</v>
      </c>
      <c r="AK26" s="467">
        <f t="shared" si="19"/>
        <v>0</v>
      </c>
      <c r="AL26" s="467">
        <f t="shared" si="19"/>
        <v>0</v>
      </c>
      <c r="AM26" s="707">
        <f t="shared" si="19"/>
        <v>0</v>
      </c>
      <c r="AN26" s="463">
        <f>SUM(AO26:AQ26)</f>
        <v>0</v>
      </c>
      <c r="AO26" s="464">
        <f>AO27</f>
        <v>0</v>
      </c>
      <c r="AP26" s="464">
        <f t="shared" si="20"/>
        <v>0</v>
      </c>
      <c r="AQ26" s="465">
        <f t="shared" si="20"/>
        <v>0</v>
      </c>
      <c r="AR26" s="466">
        <f t="shared" si="20"/>
        <v>0</v>
      </c>
      <c r="AS26" s="467">
        <f t="shared" si="13"/>
        <v>0</v>
      </c>
      <c r="AT26" s="467">
        <f t="shared" si="21"/>
        <v>0</v>
      </c>
      <c r="AU26" s="467">
        <f t="shared" si="21"/>
        <v>0</v>
      </c>
      <c r="AV26" s="467">
        <f t="shared" si="21"/>
        <v>0</v>
      </c>
      <c r="AW26" s="707">
        <f t="shared" si="21"/>
        <v>0</v>
      </c>
    </row>
    <row r="27" spans="1:49" s="362" customFormat="1" ht="54" customHeight="1" hidden="1">
      <c r="A27" s="361"/>
      <c r="B27" s="457">
        <v>6090</v>
      </c>
      <c r="C27" s="458" t="s">
        <v>650</v>
      </c>
      <c r="D27" s="686" t="s">
        <v>666</v>
      </c>
      <c r="E27" s="460">
        <f t="shared" si="3"/>
        <v>120500000</v>
      </c>
      <c r="F27" s="460">
        <v>0</v>
      </c>
      <c r="G27" s="460">
        <v>25500000</v>
      </c>
      <c r="H27" s="461">
        <v>0</v>
      </c>
      <c r="I27" s="462">
        <v>95000000</v>
      </c>
      <c r="J27" s="463">
        <f>SUM(K27:M27)</f>
        <v>-25500000</v>
      </c>
      <c r="K27" s="464">
        <v>0</v>
      </c>
      <c r="L27" s="464">
        <v>-25500000</v>
      </c>
      <c r="M27" s="465">
        <v>0</v>
      </c>
      <c r="N27" s="466">
        <v>-95000000</v>
      </c>
      <c r="O27" s="460">
        <f t="shared" si="4"/>
        <v>0</v>
      </c>
      <c r="P27" s="467">
        <f aca="true" t="shared" si="22" ref="P27:S32">F27+K27</f>
        <v>0</v>
      </c>
      <c r="Q27" s="460">
        <f t="shared" si="22"/>
        <v>0</v>
      </c>
      <c r="R27" s="460">
        <f t="shared" si="22"/>
        <v>0</v>
      </c>
      <c r="S27" s="462">
        <f t="shared" si="22"/>
        <v>0</v>
      </c>
      <c r="T27" s="463">
        <f>SUM(U27:W27)</f>
        <v>0</v>
      </c>
      <c r="U27" s="464">
        <v>0</v>
      </c>
      <c r="V27" s="464">
        <v>0</v>
      </c>
      <c r="W27" s="465">
        <v>0</v>
      </c>
      <c r="X27" s="466">
        <v>0</v>
      </c>
      <c r="Y27" s="467">
        <f t="shared" si="11"/>
        <v>0</v>
      </c>
      <c r="Z27" s="467">
        <f aca="true" t="shared" si="23" ref="Z27:Z32">P27+U27</f>
        <v>0</v>
      </c>
      <c r="AA27" s="467">
        <f aca="true" t="shared" si="24" ref="AA27:AA32">Q27+V27</f>
        <v>0</v>
      </c>
      <c r="AB27" s="467">
        <f aca="true" t="shared" si="25" ref="AB27:AB32">R27+W27</f>
        <v>0</v>
      </c>
      <c r="AC27" s="707">
        <f aca="true" t="shared" si="26" ref="AC27:AC32">S27+X27</f>
        <v>0</v>
      </c>
      <c r="AD27" s="463">
        <f>SUM(AE27:AG27)</f>
        <v>0</v>
      </c>
      <c r="AE27" s="464">
        <v>0</v>
      </c>
      <c r="AF27" s="464">
        <v>0</v>
      </c>
      <c r="AG27" s="465">
        <v>0</v>
      </c>
      <c r="AH27" s="466">
        <v>0</v>
      </c>
      <c r="AI27" s="467">
        <f t="shared" si="12"/>
        <v>0</v>
      </c>
      <c r="AJ27" s="467">
        <f aca="true" t="shared" si="27" ref="AJ27:AJ32">Z27+AE27</f>
        <v>0</v>
      </c>
      <c r="AK27" s="467">
        <f aca="true" t="shared" si="28" ref="AK27:AK32">AA27+AF27</f>
        <v>0</v>
      </c>
      <c r="AL27" s="467">
        <f aca="true" t="shared" si="29" ref="AL27:AL32">AB27+AG27</f>
        <v>0</v>
      </c>
      <c r="AM27" s="707">
        <f aca="true" t="shared" si="30" ref="AM27:AM32">AC27+AH27</f>
        <v>0</v>
      </c>
      <c r="AN27" s="463">
        <f>SUM(AO27:AQ27)</f>
        <v>0</v>
      </c>
      <c r="AO27" s="464">
        <v>0</v>
      </c>
      <c r="AP27" s="464">
        <v>0</v>
      </c>
      <c r="AQ27" s="465">
        <v>0</v>
      </c>
      <c r="AR27" s="466">
        <v>0</v>
      </c>
      <c r="AS27" s="467">
        <f t="shared" si="13"/>
        <v>0</v>
      </c>
      <c r="AT27" s="467">
        <f aca="true" t="shared" si="31" ref="AT27:AT37">AJ27+AO27</f>
        <v>0</v>
      </c>
      <c r="AU27" s="467">
        <f aca="true" t="shared" si="32" ref="AU27:AU37">AK27+AP27</f>
        <v>0</v>
      </c>
      <c r="AV27" s="467">
        <f aca="true" t="shared" si="33" ref="AV27:AV37">AL27+AQ27</f>
        <v>0</v>
      </c>
      <c r="AW27" s="707">
        <f aca="true" t="shared" si="34" ref="AW27:AW37">AM27+AR27</f>
        <v>0</v>
      </c>
    </row>
    <row r="28" spans="1:49" s="362" customFormat="1" ht="12.75">
      <c r="A28" s="361"/>
      <c r="B28" s="445">
        <v>600</v>
      </c>
      <c r="C28" s="446"/>
      <c r="D28" s="447" t="s">
        <v>31</v>
      </c>
      <c r="E28" s="448"/>
      <c r="F28" s="448"/>
      <c r="G28" s="448"/>
      <c r="H28" s="449"/>
      <c r="I28" s="450"/>
      <c r="J28" s="451">
        <f>SUM(K28:N28)</f>
        <v>120500000</v>
      </c>
      <c r="K28" s="452">
        <f>K29+K31</f>
        <v>0</v>
      </c>
      <c r="L28" s="452">
        <f>L29+L31</f>
        <v>25500000</v>
      </c>
      <c r="M28" s="453">
        <f>M29+M31</f>
        <v>0</v>
      </c>
      <c r="N28" s="454">
        <f>N29+N31</f>
        <v>95000000</v>
      </c>
      <c r="O28" s="448">
        <f t="shared" si="4"/>
        <v>120500000</v>
      </c>
      <c r="P28" s="455">
        <f t="shared" si="22"/>
        <v>0</v>
      </c>
      <c r="Q28" s="448">
        <f t="shared" si="22"/>
        <v>25500000</v>
      </c>
      <c r="R28" s="448">
        <f t="shared" si="22"/>
        <v>0</v>
      </c>
      <c r="S28" s="450">
        <f t="shared" si="22"/>
        <v>95000000</v>
      </c>
      <c r="T28" s="451">
        <f>SUM(U28:X28)</f>
        <v>0</v>
      </c>
      <c r="U28" s="452">
        <f>U29+U31</f>
        <v>0</v>
      </c>
      <c r="V28" s="452">
        <f>V29+V31</f>
        <v>0</v>
      </c>
      <c r="W28" s="453">
        <f>W29+W31</f>
        <v>0</v>
      </c>
      <c r="X28" s="454">
        <v>0</v>
      </c>
      <c r="Y28" s="455">
        <f t="shared" si="11"/>
        <v>120500000</v>
      </c>
      <c r="Z28" s="455">
        <f t="shared" si="23"/>
        <v>0</v>
      </c>
      <c r="AA28" s="455">
        <f t="shared" si="24"/>
        <v>25500000</v>
      </c>
      <c r="AB28" s="455">
        <f t="shared" si="25"/>
        <v>0</v>
      </c>
      <c r="AC28" s="456">
        <f t="shared" si="26"/>
        <v>95000000</v>
      </c>
      <c r="AD28" s="451">
        <f aca="true" t="shared" si="35" ref="AD28:AD40">SUM(AE28:AH28)</f>
        <v>0</v>
      </c>
      <c r="AE28" s="452">
        <f>AE29+AE31</f>
        <v>0</v>
      </c>
      <c r="AF28" s="452">
        <f>AF29+AF31</f>
        <v>-25500000</v>
      </c>
      <c r="AG28" s="453">
        <f>AG29+AG31</f>
        <v>25500000</v>
      </c>
      <c r="AH28" s="454">
        <v>0</v>
      </c>
      <c r="AI28" s="455">
        <f t="shared" si="12"/>
        <v>120500000</v>
      </c>
      <c r="AJ28" s="455">
        <f t="shared" si="27"/>
        <v>0</v>
      </c>
      <c r="AK28" s="455">
        <f t="shared" si="28"/>
        <v>0</v>
      </c>
      <c r="AL28" s="455">
        <f t="shared" si="29"/>
        <v>25500000</v>
      </c>
      <c r="AM28" s="456">
        <f t="shared" si="30"/>
        <v>95000000</v>
      </c>
      <c r="AN28" s="451">
        <f aca="true" t="shared" si="36" ref="AN28:AN37">SUM(AO28:AR28)</f>
        <v>0</v>
      </c>
      <c r="AO28" s="452">
        <f>AO29+AO31</f>
        <v>0</v>
      </c>
      <c r="AP28" s="452">
        <f>AP29+AP31</f>
        <v>0</v>
      </c>
      <c r="AQ28" s="453">
        <f>AQ29+AQ31</f>
        <v>0</v>
      </c>
      <c r="AR28" s="454">
        <v>0</v>
      </c>
      <c r="AS28" s="455">
        <f t="shared" si="13"/>
        <v>120500000</v>
      </c>
      <c r="AT28" s="455">
        <f t="shared" si="31"/>
        <v>0</v>
      </c>
      <c r="AU28" s="455">
        <f t="shared" si="32"/>
        <v>0</v>
      </c>
      <c r="AV28" s="455">
        <f t="shared" si="33"/>
        <v>25500000</v>
      </c>
      <c r="AW28" s="456">
        <f t="shared" si="34"/>
        <v>95000000</v>
      </c>
    </row>
    <row r="29" spans="1:49" s="362" customFormat="1" ht="12.75">
      <c r="A29" s="361"/>
      <c r="B29" s="457">
        <v>60004</v>
      </c>
      <c r="C29" s="458"/>
      <c r="D29" s="459" t="s">
        <v>32</v>
      </c>
      <c r="E29" s="460"/>
      <c r="F29" s="460"/>
      <c r="G29" s="460"/>
      <c r="H29" s="461"/>
      <c r="I29" s="462"/>
      <c r="J29" s="463">
        <f>SUM(K29:N29)</f>
        <v>25500000</v>
      </c>
      <c r="K29" s="464">
        <f>K30</f>
        <v>0</v>
      </c>
      <c r="L29" s="464">
        <f>L30</f>
        <v>25500000</v>
      </c>
      <c r="M29" s="465">
        <f>M30</f>
        <v>0</v>
      </c>
      <c r="N29" s="466">
        <f>N30</f>
        <v>0</v>
      </c>
      <c r="O29" s="460">
        <f t="shared" si="4"/>
        <v>25500000</v>
      </c>
      <c r="P29" s="467">
        <f t="shared" si="22"/>
        <v>0</v>
      </c>
      <c r="Q29" s="460">
        <f t="shared" si="22"/>
        <v>25500000</v>
      </c>
      <c r="R29" s="460">
        <f t="shared" si="22"/>
        <v>0</v>
      </c>
      <c r="S29" s="462">
        <f t="shared" si="22"/>
        <v>0</v>
      </c>
      <c r="T29" s="463">
        <f>SUM(U29:X29)</f>
        <v>0</v>
      </c>
      <c r="U29" s="464">
        <f>U30</f>
        <v>0</v>
      </c>
      <c r="V29" s="464">
        <f>V30</f>
        <v>0</v>
      </c>
      <c r="W29" s="465">
        <f>W30</f>
        <v>0</v>
      </c>
      <c r="X29" s="466">
        <f>X30</f>
        <v>0</v>
      </c>
      <c r="Y29" s="467">
        <f t="shared" si="11"/>
        <v>25500000</v>
      </c>
      <c r="Z29" s="467">
        <f t="shared" si="23"/>
        <v>0</v>
      </c>
      <c r="AA29" s="467">
        <f t="shared" si="24"/>
        <v>25500000</v>
      </c>
      <c r="AB29" s="467">
        <f t="shared" si="25"/>
        <v>0</v>
      </c>
      <c r="AC29" s="707">
        <f t="shared" si="26"/>
        <v>0</v>
      </c>
      <c r="AD29" s="463">
        <f t="shared" si="35"/>
        <v>0</v>
      </c>
      <c r="AE29" s="464">
        <f>AE30</f>
        <v>0</v>
      </c>
      <c r="AF29" s="464">
        <f>AF30</f>
        <v>-25500000</v>
      </c>
      <c r="AG29" s="465">
        <f>AG30</f>
        <v>25500000</v>
      </c>
      <c r="AH29" s="466">
        <f>AH30</f>
        <v>0</v>
      </c>
      <c r="AI29" s="467">
        <f t="shared" si="12"/>
        <v>25500000</v>
      </c>
      <c r="AJ29" s="467">
        <f t="shared" si="27"/>
        <v>0</v>
      </c>
      <c r="AK29" s="467">
        <f t="shared" si="28"/>
        <v>0</v>
      </c>
      <c r="AL29" s="467">
        <f t="shared" si="29"/>
        <v>25500000</v>
      </c>
      <c r="AM29" s="707">
        <f t="shared" si="30"/>
        <v>0</v>
      </c>
      <c r="AN29" s="463">
        <f t="shared" si="36"/>
        <v>0</v>
      </c>
      <c r="AO29" s="464">
        <f>AO30</f>
        <v>0</v>
      </c>
      <c r="AP29" s="464">
        <f>AP30</f>
        <v>0</v>
      </c>
      <c r="AQ29" s="465">
        <f>AQ30</f>
        <v>0</v>
      </c>
      <c r="AR29" s="466">
        <f>AR30</f>
        <v>0</v>
      </c>
      <c r="AS29" s="467">
        <f t="shared" si="13"/>
        <v>25500000</v>
      </c>
      <c r="AT29" s="467">
        <f t="shared" si="31"/>
        <v>0</v>
      </c>
      <c r="AU29" s="467">
        <f t="shared" si="32"/>
        <v>0</v>
      </c>
      <c r="AV29" s="467">
        <f t="shared" si="33"/>
        <v>25500000</v>
      </c>
      <c r="AW29" s="707">
        <f t="shared" si="34"/>
        <v>0</v>
      </c>
    </row>
    <row r="30" spans="1:49" s="362" customFormat="1" ht="54" customHeight="1">
      <c r="A30" s="361"/>
      <c r="B30" s="457">
        <v>6090</v>
      </c>
      <c r="C30" s="458" t="s">
        <v>650</v>
      </c>
      <c r="D30" s="686" t="s">
        <v>666</v>
      </c>
      <c r="E30" s="460"/>
      <c r="F30" s="460">
        <v>0</v>
      </c>
      <c r="G30" s="460">
        <v>0</v>
      </c>
      <c r="H30" s="461">
        <v>0</v>
      </c>
      <c r="I30" s="462">
        <v>0</v>
      </c>
      <c r="J30" s="463">
        <f>SUM(K30:N30)</f>
        <v>25500000</v>
      </c>
      <c r="K30" s="464">
        <v>0</v>
      </c>
      <c r="L30" s="464">
        <v>25500000</v>
      </c>
      <c r="M30" s="465">
        <v>0</v>
      </c>
      <c r="N30" s="466">
        <v>0</v>
      </c>
      <c r="O30" s="460">
        <f t="shared" si="4"/>
        <v>25500000</v>
      </c>
      <c r="P30" s="467">
        <f t="shared" si="22"/>
        <v>0</v>
      </c>
      <c r="Q30" s="460">
        <f t="shared" si="22"/>
        <v>25500000</v>
      </c>
      <c r="R30" s="460">
        <f t="shared" si="22"/>
        <v>0</v>
      </c>
      <c r="S30" s="462">
        <f t="shared" si="22"/>
        <v>0</v>
      </c>
      <c r="T30" s="463">
        <f>SUM(U30:X30)</f>
        <v>0</v>
      </c>
      <c r="U30" s="464">
        <v>0</v>
      </c>
      <c r="V30" s="464">
        <v>0</v>
      </c>
      <c r="W30" s="465">
        <v>0</v>
      </c>
      <c r="X30" s="466">
        <v>0</v>
      </c>
      <c r="Y30" s="467">
        <f t="shared" si="11"/>
        <v>25500000</v>
      </c>
      <c r="Z30" s="467">
        <f t="shared" si="23"/>
        <v>0</v>
      </c>
      <c r="AA30" s="467">
        <f t="shared" si="24"/>
        <v>25500000</v>
      </c>
      <c r="AB30" s="467">
        <f t="shared" si="25"/>
        <v>0</v>
      </c>
      <c r="AC30" s="707">
        <f t="shared" si="26"/>
        <v>0</v>
      </c>
      <c r="AD30" s="463">
        <f t="shared" si="35"/>
        <v>0</v>
      </c>
      <c r="AE30" s="464">
        <v>0</v>
      </c>
      <c r="AF30" s="464">
        <v>-25500000</v>
      </c>
      <c r="AG30" s="465">
        <v>25500000</v>
      </c>
      <c r="AH30" s="466">
        <v>0</v>
      </c>
      <c r="AI30" s="467">
        <f t="shared" si="12"/>
        <v>25500000</v>
      </c>
      <c r="AJ30" s="467">
        <f t="shared" si="27"/>
        <v>0</v>
      </c>
      <c r="AK30" s="467">
        <f t="shared" si="28"/>
        <v>0</v>
      </c>
      <c r="AL30" s="467">
        <f t="shared" si="29"/>
        <v>25500000</v>
      </c>
      <c r="AM30" s="707">
        <f t="shared" si="30"/>
        <v>0</v>
      </c>
      <c r="AN30" s="463">
        <f t="shared" si="36"/>
        <v>0</v>
      </c>
      <c r="AO30" s="464">
        <v>0</v>
      </c>
      <c r="AP30" s="464">
        <v>0</v>
      </c>
      <c r="AQ30" s="465">
        <v>0</v>
      </c>
      <c r="AR30" s="466">
        <v>0</v>
      </c>
      <c r="AS30" s="467">
        <f t="shared" si="13"/>
        <v>25500000</v>
      </c>
      <c r="AT30" s="467">
        <f t="shared" si="31"/>
        <v>0</v>
      </c>
      <c r="AU30" s="467">
        <f t="shared" si="32"/>
        <v>0</v>
      </c>
      <c r="AV30" s="467">
        <f t="shared" si="33"/>
        <v>25500000</v>
      </c>
      <c r="AW30" s="707">
        <f t="shared" si="34"/>
        <v>0</v>
      </c>
    </row>
    <row r="31" spans="1:49" s="362" customFormat="1" ht="12.75">
      <c r="A31" s="361"/>
      <c r="B31" s="498">
        <v>60016</v>
      </c>
      <c r="C31" s="499"/>
      <c r="D31" s="500" t="s">
        <v>52</v>
      </c>
      <c r="E31" s="460"/>
      <c r="F31" s="460"/>
      <c r="G31" s="460"/>
      <c r="H31" s="461"/>
      <c r="I31" s="462"/>
      <c r="J31" s="463">
        <f>SUM(K31:N31)</f>
        <v>95000000</v>
      </c>
      <c r="K31" s="464">
        <f>K32</f>
        <v>0</v>
      </c>
      <c r="L31" s="464">
        <f>L32</f>
        <v>0</v>
      </c>
      <c r="M31" s="465">
        <f>M32</f>
        <v>0</v>
      </c>
      <c r="N31" s="466">
        <f>N32</f>
        <v>95000000</v>
      </c>
      <c r="O31" s="460">
        <f t="shared" si="4"/>
        <v>95000000</v>
      </c>
      <c r="P31" s="467">
        <f t="shared" si="22"/>
        <v>0</v>
      </c>
      <c r="Q31" s="460">
        <f t="shared" si="22"/>
        <v>0</v>
      </c>
      <c r="R31" s="460">
        <f t="shared" si="22"/>
        <v>0</v>
      </c>
      <c r="S31" s="462">
        <f t="shared" si="22"/>
        <v>95000000</v>
      </c>
      <c r="T31" s="463">
        <f>SUM(U31:X31)</f>
        <v>0</v>
      </c>
      <c r="U31" s="464">
        <f>U32</f>
        <v>0</v>
      </c>
      <c r="V31" s="464">
        <f>V32</f>
        <v>0</v>
      </c>
      <c r="W31" s="465">
        <f>W32</f>
        <v>0</v>
      </c>
      <c r="X31" s="466">
        <f>X32</f>
        <v>0</v>
      </c>
      <c r="Y31" s="467">
        <f t="shared" si="11"/>
        <v>95000000</v>
      </c>
      <c r="Z31" s="467">
        <f t="shared" si="23"/>
        <v>0</v>
      </c>
      <c r="AA31" s="467">
        <f t="shared" si="24"/>
        <v>0</v>
      </c>
      <c r="AB31" s="467">
        <f t="shared" si="25"/>
        <v>0</v>
      </c>
      <c r="AC31" s="707">
        <f t="shared" si="26"/>
        <v>95000000</v>
      </c>
      <c r="AD31" s="463">
        <f t="shared" si="35"/>
        <v>0</v>
      </c>
      <c r="AE31" s="464">
        <f>AE32</f>
        <v>0</v>
      </c>
      <c r="AF31" s="464">
        <f>AF32</f>
        <v>0</v>
      </c>
      <c r="AG31" s="465">
        <f>AG32</f>
        <v>0</v>
      </c>
      <c r="AH31" s="466">
        <f>AH32</f>
        <v>0</v>
      </c>
      <c r="AI31" s="467">
        <f t="shared" si="12"/>
        <v>95000000</v>
      </c>
      <c r="AJ31" s="467">
        <f t="shared" si="27"/>
        <v>0</v>
      </c>
      <c r="AK31" s="467">
        <f t="shared" si="28"/>
        <v>0</v>
      </c>
      <c r="AL31" s="467">
        <f t="shared" si="29"/>
        <v>0</v>
      </c>
      <c r="AM31" s="707">
        <f t="shared" si="30"/>
        <v>95000000</v>
      </c>
      <c r="AN31" s="463">
        <f t="shared" si="36"/>
        <v>0</v>
      </c>
      <c r="AO31" s="464">
        <f>AO32</f>
        <v>0</v>
      </c>
      <c r="AP31" s="464">
        <f>AP32</f>
        <v>0</v>
      </c>
      <c r="AQ31" s="465">
        <f>AQ32</f>
        <v>0</v>
      </c>
      <c r="AR31" s="466">
        <f>AR32</f>
        <v>0</v>
      </c>
      <c r="AS31" s="467">
        <f t="shared" si="13"/>
        <v>95000000</v>
      </c>
      <c r="AT31" s="467">
        <f t="shared" si="31"/>
        <v>0</v>
      </c>
      <c r="AU31" s="467">
        <f t="shared" si="32"/>
        <v>0</v>
      </c>
      <c r="AV31" s="467">
        <f t="shared" si="33"/>
        <v>0</v>
      </c>
      <c r="AW31" s="707">
        <f t="shared" si="34"/>
        <v>95000000</v>
      </c>
    </row>
    <row r="32" spans="1:49" s="362" customFormat="1" ht="54" customHeight="1">
      <c r="A32" s="361"/>
      <c r="B32" s="725">
        <v>6090</v>
      </c>
      <c r="C32" s="501" t="s">
        <v>650</v>
      </c>
      <c r="D32" s="686" t="s">
        <v>666</v>
      </c>
      <c r="E32" s="471"/>
      <c r="F32" s="471">
        <v>0</v>
      </c>
      <c r="G32" s="471">
        <v>0</v>
      </c>
      <c r="H32" s="472"/>
      <c r="I32" s="473">
        <v>0</v>
      </c>
      <c r="J32" s="474">
        <f>SUM(K32:N32)</f>
        <v>95000000</v>
      </c>
      <c r="K32" s="475">
        <v>0</v>
      </c>
      <c r="L32" s="475">
        <v>0</v>
      </c>
      <c r="M32" s="476"/>
      <c r="N32" s="477">
        <v>95000000</v>
      </c>
      <c r="O32" s="471">
        <f t="shared" si="4"/>
        <v>95000000</v>
      </c>
      <c r="P32" s="467">
        <f t="shared" si="22"/>
        <v>0</v>
      </c>
      <c r="Q32" s="460">
        <f t="shared" si="22"/>
        <v>0</v>
      </c>
      <c r="R32" s="460">
        <f t="shared" si="22"/>
        <v>0</v>
      </c>
      <c r="S32" s="473">
        <f t="shared" si="22"/>
        <v>95000000</v>
      </c>
      <c r="T32" s="474">
        <f>SUM(U32:X32)</f>
        <v>0</v>
      </c>
      <c r="U32" s="475">
        <v>0</v>
      </c>
      <c r="V32" s="475">
        <v>0</v>
      </c>
      <c r="W32" s="476"/>
      <c r="X32" s="477">
        <v>0</v>
      </c>
      <c r="Y32" s="478">
        <f t="shared" si="11"/>
        <v>95000000</v>
      </c>
      <c r="Z32" s="467">
        <f t="shared" si="23"/>
        <v>0</v>
      </c>
      <c r="AA32" s="467">
        <f t="shared" si="24"/>
        <v>0</v>
      </c>
      <c r="AB32" s="467">
        <f t="shared" si="25"/>
        <v>0</v>
      </c>
      <c r="AC32" s="708">
        <f t="shared" si="26"/>
        <v>95000000</v>
      </c>
      <c r="AD32" s="474">
        <f t="shared" si="35"/>
        <v>0</v>
      </c>
      <c r="AE32" s="475">
        <v>0</v>
      </c>
      <c r="AF32" s="475">
        <v>0</v>
      </c>
      <c r="AG32" s="476"/>
      <c r="AH32" s="477">
        <v>0</v>
      </c>
      <c r="AI32" s="478">
        <f t="shared" si="12"/>
        <v>95000000</v>
      </c>
      <c r="AJ32" s="467">
        <f t="shared" si="27"/>
        <v>0</v>
      </c>
      <c r="AK32" s="467">
        <f t="shared" si="28"/>
        <v>0</v>
      </c>
      <c r="AL32" s="467">
        <f t="shared" si="29"/>
        <v>0</v>
      </c>
      <c r="AM32" s="708">
        <f t="shared" si="30"/>
        <v>95000000</v>
      </c>
      <c r="AN32" s="474">
        <f t="shared" si="36"/>
        <v>0</v>
      </c>
      <c r="AO32" s="475">
        <v>0</v>
      </c>
      <c r="AP32" s="475">
        <v>0</v>
      </c>
      <c r="AQ32" s="476"/>
      <c r="AR32" s="477">
        <v>0</v>
      </c>
      <c r="AS32" s="478">
        <f t="shared" si="13"/>
        <v>95000000</v>
      </c>
      <c r="AT32" s="467">
        <f t="shared" si="31"/>
        <v>0</v>
      </c>
      <c r="AU32" s="467">
        <f t="shared" si="32"/>
        <v>0</v>
      </c>
      <c r="AV32" s="467">
        <f t="shared" si="33"/>
        <v>0</v>
      </c>
      <c r="AW32" s="708">
        <f t="shared" si="34"/>
        <v>95000000</v>
      </c>
    </row>
    <row r="33" spans="1:49" s="362" customFormat="1" ht="12.75">
      <c r="A33" s="361"/>
      <c r="B33" s="724">
        <v>801</v>
      </c>
      <c r="C33" s="446"/>
      <c r="D33" s="447" t="s">
        <v>259</v>
      </c>
      <c r="E33" s="448"/>
      <c r="F33" s="448"/>
      <c r="G33" s="448"/>
      <c r="H33" s="449"/>
      <c r="I33" s="450"/>
      <c r="J33" s="451"/>
      <c r="K33" s="452"/>
      <c r="L33" s="452"/>
      <c r="M33" s="453"/>
      <c r="N33" s="454"/>
      <c r="O33" s="448"/>
      <c r="P33" s="455"/>
      <c r="Q33" s="448"/>
      <c r="R33" s="448"/>
      <c r="S33" s="450"/>
      <c r="T33" s="451"/>
      <c r="U33" s="452"/>
      <c r="V33" s="452"/>
      <c r="W33" s="453"/>
      <c r="X33" s="454"/>
      <c r="Y33" s="455"/>
      <c r="Z33" s="455"/>
      <c r="AA33" s="455"/>
      <c r="AB33" s="455"/>
      <c r="AC33" s="456"/>
      <c r="AD33" s="451">
        <f t="shared" si="35"/>
        <v>70000000</v>
      </c>
      <c r="AE33" s="452">
        <f>AE34+AE36</f>
        <v>0</v>
      </c>
      <c r="AF33" s="452">
        <f>AF34+AF36</f>
        <v>0</v>
      </c>
      <c r="AG33" s="453">
        <f>AG34+AG36</f>
        <v>18000000</v>
      </c>
      <c r="AH33" s="454">
        <f>AH34+AH36</f>
        <v>52000000</v>
      </c>
      <c r="AI33" s="455">
        <f aca="true" t="shared" si="37" ref="AI33:AI40">SUM(AJ33:AM33)</f>
        <v>70000000</v>
      </c>
      <c r="AJ33" s="455">
        <f aca="true" t="shared" si="38" ref="AJ33:AM37">Z33+AE33</f>
        <v>0</v>
      </c>
      <c r="AK33" s="455">
        <f t="shared" si="38"/>
        <v>0</v>
      </c>
      <c r="AL33" s="455">
        <f t="shared" si="38"/>
        <v>18000000</v>
      </c>
      <c r="AM33" s="456">
        <f t="shared" si="38"/>
        <v>52000000</v>
      </c>
      <c r="AN33" s="451">
        <f t="shared" si="36"/>
        <v>0</v>
      </c>
      <c r="AO33" s="452">
        <f>AO34+AO36</f>
        <v>0</v>
      </c>
      <c r="AP33" s="452">
        <f>AP34+AP36</f>
        <v>0</v>
      </c>
      <c r="AQ33" s="453">
        <f>AQ34+AQ36</f>
        <v>0</v>
      </c>
      <c r="AR33" s="454">
        <f>AR34+AR36</f>
        <v>0</v>
      </c>
      <c r="AS33" s="455">
        <f t="shared" si="13"/>
        <v>70000000</v>
      </c>
      <c r="AT33" s="455">
        <f t="shared" si="31"/>
        <v>0</v>
      </c>
      <c r="AU33" s="455">
        <f t="shared" si="32"/>
        <v>0</v>
      </c>
      <c r="AV33" s="455">
        <f t="shared" si="33"/>
        <v>18000000</v>
      </c>
      <c r="AW33" s="456">
        <f t="shared" si="34"/>
        <v>52000000</v>
      </c>
    </row>
    <row r="34" spans="1:49" s="362" customFormat="1" ht="12.75">
      <c r="A34" s="361"/>
      <c r="B34" s="457">
        <v>80101</v>
      </c>
      <c r="C34" s="458"/>
      <c r="D34" s="459" t="s">
        <v>260</v>
      </c>
      <c r="E34" s="460"/>
      <c r="F34" s="460"/>
      <c r="G34" s="460"/>
      <c r="H34" s="461"/>
      <c r="I34" s="462"/>
      <c r="J34" s="463"/>
      <c r="K34" s="464"/>
      <c r="L34" s="464"/>
      <c r="M34" s="465"/>
      <c r="N34" s="466"/>
      <c r="O34" s="460"/>
      <c r="P34" s="467"/>
      <c r="Q34" s="460"/>
      <c r="R34" s="460"/>
      <c r="S34" s="462"/>
      <c r="T34" s="463"/>
      <c r="U34" s="464"/>
      <c r="V34" s="464"/>
      <c r="W34" s="465"/>
      <c r="X34" s="466"/>
      <c r="Y34" s="467"/>
      <c r="Z34" s="467"/>
      <c r="AA34" s="467"/>
      <c r="AB34" s="467"/>
      <c r="AC34" s="707"/>
      <c r="AD34" s="463">
        <f t="shared" si="35"/>
        <v>65000000</v>
      </c>
      <c r="AE34" s="464">
        <f>AE35</f>
        <v>0</v>
      </c>
      <c r="AF34" s="464">
        <f>AF35</f>
        <v>0</v>
      </c>
      <c r="AG34" s="465">
        <f>AG35</f>
        <v>13000000</v>
      </c>
      <c r="AH34" s="466">
        <f>AH35</f>
        <v>52000000</v>
      </c>
      <c r="AI34" s="467">
        <f t="shared" si="37"/>
        <v>65000000</v>
      </c>
      <c r="AJ34" s="467">
        <f t="shared" si="38"/>
        <v>0</v>
      </c>
      <c r="AK34" s="467">
        <f t="shared" si="38"/>
        <v>0</v>
      </c>
      <c r="AL34" s="467">
        <f t="shared" si="38"/>
        <v>13000000</v>
      </c>
      <c r="AM34" s="707">
        <f t="shared" si="38"/>
        <v>52000000</v>
      </c>
      <c r="AN34" s="463">
        <f t="shared" si="36"/>
        <v>0</v>
      </c>
      <c r="AO34" s="464">
        <f>AO35</f>
        <v>0</v>
      </c>
      <c r="AP34" s="464">
        <f>AP35</f>
        <v>0</v>
      </c>
      <c r="AQ34" s="465">
        <f>AQ35</f>
        <v>0</v>
      </c>
      <c r="AR34" s="466">
        <f>AR35</f>
        <v>0</v>
      </c>
      <c r="AS34" s="467">
        <f t="shared" si="13"/>
        <v>65000000</v>
      </c>
      <c r="AT34" s="467">
        <f t="shared" si="31"/>
        <v>0</v>
      </c>
      <c r="AU34" s="467">
        <f t="shared" si="32"/>
        <v>0</v>
      </c>
      <c r="AV34" s="467">
        <f t="shared" si="33"/>
        <v>13000000</v>
      </c>
      <c r="AW34" s="707">
        <f t="shared" si="34"/>
        <v>52000000</v>
      </c>
    </row>
    <row r="35" spans="1:49" s="362" customFormat="1" ht="54" customHeight="1">
      <c r="A35" s="361"/>
      <c r="B35" s="457">
        <v>6090</v>
      </c>
      <c r="C35" s="458" t="s">
        <v>650</v>
      </c>
      <c r="D35" s="686" t="s">
        <v>666</v>
      </c>
      <c r="E35" s="460"/>
      <c r="F35" s="460"/>
      <c r="G35" s="460"/>
      <c r="H35" s="461"/>
      <c r="I35" s="462"/>
      <c r="J35" s="463"/>
      <c r="K35" s="464"/>
      <c r="L35" s="464"/>
      <c r="M35" s="465"/>
      <c r="N35" s="466"/>
      <c r="O35" s="460"/>
      <c r="P35" s="467"/>
      <c r="Q35" s="460"/>
      <c r="R35" s="460"/>
      <c r="S35" s="462"/>
      <c r="T35" s="463"/>
      <c r="U35" s="464"/>
      <c r="V35" s="464"/>
      <c r="W35" s="465"/>
      <c r="X35" s="466"/>
      <c r="Y35" s="467"/>
      <c r="Z35" s="467"/>
      <c r="AA35" s="467"/>
      <c r="AB35" s="467"/>
      <c r="AC35" s="707"/>
      <c r="AD35" s="463">
        <f t="shared" si="35"/>
        <v>65000000</v>
      </c>
      <c r="AE35" s="464">
        <v>0</v>
      </c>
      <c r="AF35" s="464">
        <v>0</v>
      </c>
      <c r="AG35" s="465">
        <f>13000000</f>
        <v>13000000</v>
      </c>
      <c r="AH35" s="466">
        <f>52000000</f>
        <v>52000000</v>
      </c>
      <c r="AI35" s="467">
        <f t="shared" si="37"/>
        <v>65000000</v>
      </c>
      <c r="AJ35" s="467">
        <f t="shared" si="38"/>
        <v>0</v>
      </c>
      <c r="AK35" s="467">
        <f t="shared" si="38"/>
        <v>0</v>
      </c>
      <c r="AL35" s="467">
        <f t="shared" si="38"/>
        <v>13000000</v>
      </c>
      <c r="AM35" s="707">
        <f t="shared" si="38"/>
        <v>52000000</v>
      </c>
      <c r="AN35" s="463">
        <f t="shared" si="36"/>
        <v>0</v>
      </c>
      <c r="AO35" s="464">
        <v>0</v>
      </c>
      <c r="AP35" s="464">
        <v>0</v>
      </c>
      <c r="AQ35" s="465">
        <v>0</v>
      </c>
      <c r="AR35" s="466">
        <v>0</v>
      </c>
      <c r="AS35" s="467">
        <f t="shared" si="13"/>
        <v>65000000</v>
      </c>
      <c r="AT35" s="467">
        <f t="shared" si="31"/>
        <v>0</v>
      </c>
      <c r="AU35" s="467">
        <f t="shared" si="32"/>
        <v>0</v>
      </c>
      <c r="AV35" s="467">
        <f t="shared" si="33"/>
        <v>13000000</v>
      </c>
      <c r="AW35" s="707">
        <f t="shared" si="34"/>
        <v>52000000</v>
      </c>
    </row>
    <row r="36" spans="1:49" s="362" customFormat="1" ht="38.25">
      <c r="A36" s="361"/>
      <c r="B36" s="498">
        <v>80150</v>
      </c>
      <c r="C36" s="499"/>
      <c r="D36" s="500" t="s">
        <v>679</v>
      </c>
      <c r="E36" s="460"/>
      <c r="F36" s="460"/>
      <c r="G36" s="460"/>
      <c r="H36" s="461"/>
      <c r="I36" s="462"/>
      <c r="J36" s="463"/>
      <c r="K36" s="464"/>
      <c r="L36" s="464"/>
      <c r="M36" s="465"/>
      <c r="N36" s="466"/>
      <c r="O36" s="460"/>
      <c r="P36" s="467"/>
      <c r="Q36" s="460"/>
      <c r="R36" s="460"/>
      <c r="S36" s="462"/>
      <c r="T36" s="463"/>
      <c r="U36" s="464"/>
      <c r="V36" s="464"/>
      <c r="W36" s="465"/>
      <c r="X36" s="466"/>
      <c r="Y36" s="467"/>
      <c r="Z36" s="467"/>
      <c r="AA36" s="467"/>
      <c r="AB36" s="467"/>
      <c r="AC36" s="707"/>
      <c r="AD36" s="463">
        <f t="shared" si="35"/>
        <v>5000000</v>
      </c>
      <c r="AE36" s="464">
        <f>AE37</f>
        <v>0</v>
      </c>
      <c r="AF36" s="464">
        <f>AF37</f>
        <v>0</v>
      </c>
      <c r="AG36" s="465">
        <f>AG37</f>
        <v>5000000</v>
      </c>
      <c r="AH36" s="466">
        <f>AH37</f>
        <v>0</v>
      </c>
      <c r="AI36" s="467">
        <f t="shared" si="37"/>
        <v>5000000</v>
      </c>
      <c r="AJ36" s="467">
        <f t="shared" si="38"/>
        <v>0</v>
      </c>
      <c r="AK36" s="467">
        <f t="shared" si="38"/>
        <v>0</v>
      </c>
      <c r="AL36" s="467">
        <f t="shared" si="38"/>
        <v>5000000</v>
      </c>
      <c r="AM36" s="707">
        <f t="shared" si="38"/>
        <v>0</v>
      </c>
      <c r="AN36" s="463">
        <f t="shared" si="36"/>
        <v>0</v>
      </c>
      <c r="AO36" s="464">
        <f>AO37</f>
        <v>0</v>
      </c>
      <c r="AP36" s="464">
        <f>AP37</f>
        <v>0</v>
      </c>
      <c r="AQ36" s="465">
        <f>AQ37</f>
        <v>0</v>
      </c>
      <c r="AR36" s="466">
        <f>AR37</f>
        <v>0</v>
      </c>
      <c r="AS36" s="467">
        <f t="shared" si="13"/>
        <v>5000000</v>
      </c>
      <c r="AT36" s="467">
        <f t="shared" si="31"/>
        <v>0</v>
      </c>
      <c r="AU36" s="467">
        <f t="shared" si="32"/>
        <v>0</v>
      </c>
      <c r="AV36" s="467">
        <f t="shared" si="33"/>
        <v>5000000</v>
      </c>
      <c r="AW36" s="707">
        <f t="shared" si="34"/>
        <v>0</v>
      </c>
    </row>
    <row r="37" spans="1:49" s="362" customFormat="1" ht="54" customHeight="1" thickBot="1">
      <c r="A37" s="361"/>
      <c r="B37" s="783">
        <v>6090</v>
      </c>
      <c r="C37" s="784" t="s">
        <v>650</v>
      </c>
      <c r="D37" s="785" t="s">
        <v>666</v>
      </c>
      <c r="E37" s="786"/>
      <c r="F37" s="786"/>
      <c r="G37" s="786"/>
      <c r="H37" s="787"/>
      <c r="I37" s="788"/>
      <c r="J37" s="789"/>
      <c r="K37" s="790"/>
      <c r="L37" s="790"/>
      <c r="M37" s="791"/>
      <c r="N37" s="792"/>
      <c r="O37" s="786"/>
      <c r="P37" s="793"/>
      <c r="Q37" s="786"/>
      <c r="R37" s="786"/>
      <c r="S37" s="788"/>
      <c r="T37" s="789"/>
      <c r="U37" s="790"/>
      <c r="V37" s="790"/>
      <c r="W37" s="791"/>
      <c r="X37" s="792"/>
      <c r="Y37" s="793"/>
      <c r="Z37" s="793"/>
      <c r="AA37" s="793"/>
      <c r="AB37" s="793"/>
      <c r="AC37" s="794"/>
      <c r="AD37" s="789">
        <f t="shared" si="35"/>
        <v>5000000</v>
      </c>
      <c r="AE37" s="790">
        <v>0</v>
      </c>
      <c r="AF37" s="790">
        <v>0</v>
      </c>
      <c r="AG37" s="791">
        <f>5000000</f>
        <v>5000000</v>
      </c>
      <c r="AH37" s="792">
        <v>0</v>
      </c>
      <c r="AI37" s="793">
        <f t="shared" si="37"/>
        <v>5000000</v>
      </c>
      <c r="AJ37" s="793">
        <f t="shared" si="38"/>
        <v>0</v>
      </c>
      <c r="AK37" s="793">
        <f t="shared" si="38"/>
        <v>0</v>
      </c>
      <c r="AL37" s="793">
        <f t="shared" si="38"/>
        <v>5000000</v>
      </c>
      <c r="AM37" s="794">
        <f t="shared" si="38"/>
        <v>0</v>
      </c>
      <c r="AN37" s="789">
        <f t="shared" si="36"/>
        <v>0</v>
      </c>
      <c r="AO37" s="790">
        <v>0</v>
      </c>
      <c r="AP37" s="790">
        <v>0</v>
      </c>
      <c r="AQ37" s="791">
        <v>0</v>
      </c>
      <c r="AR37" s="792">
        <v>0</v>
      </c>
      <c r="AS37" s="793">
        <f t="shared" si="13"/>
        <v>5000000</v>
      </c>
      <c r="AT37" s="793">
        <f t="shared" si="31"/>
        <v>0</v>
      </c>
      <c r="AU37" s="793">
        <f t="shared" si="32"/>
        <v>0</v>
      </c>
      <c r="AV37" s="793">
        <f t="shared" si="33"/>
        <v>5000000</v>
      </c>
      <c r="AW37" s="794">
        <f t="shared" si="34"/>
        <v>0</v>
      </c>
    </row>
    <row r="38" spans="1:49" s="362" customFormat="1" ht="4.5" customHeight="1" thickBot="1">
      <c r="A38" s="361"/>
      <c r="B38" s="771"/>
      <c r="C38" s="772"/>
      <c r="D38" s="129"/>
      <c r="E38" s="773"/>
      <c r="F38" s="774"/>
      <c r="G38" s="773"/>
      <c r="H38" s="774"/>
      <c r="I38" s="775"/>
      <c r="J38" s="776"/>
      <c r="K38" s="777"/>
      <c r="L38" s="778"/>
      <c r="M38" s="777"/>
      <c r="N38" s="779"/>
      <c r="O38" s="773"/>
      <c r="P38" s="780"/>
      <c r="Q38" s="773"/>
      <c r="R38" s="774"/>
      <c r="S38" s="775"/>
      <c r="T38" s="776"/>
      <c r="U38" s="777"/>
      <c r="V38" s="778"/>
      <c r="W38" s="777"/>
      <c r="X38" s="779"/>
      <c r="Y38" s="781"/>
      <c r="Z38" s="780"/>
      <c r="AA38" s="781"/>
      <c r="AB38" s="780"/>
      <c r="AC38" s="782"/>
      <c r="AD38" s="776"/>
      <c r="AE38" s="777"/>
      <c r="AF38" s="778"/>
      <c r="AG38" s="777"/>
      <c r="AH38" s="779"/>
      <c r="AI38" s="781"/>
      <c r="AJ38" s="780"/>
      <c r="AK38" s="781"/>
      <c r="AL38" s="781"/>
      <c r="AM38" s="782"/>
      <c r="AN38" s="776"/>
      <c r="AO38" s="777"/>
      <c r="AP38" s="778"/>
      <c r="AQ38" s="777"/>
      <c r="AR38" s="779"/>
      <c r="AS38" s="781"/>
      <c r="AT38" s="780"/>
      <c r="AU38" s="781"/>
      <c r="AV38" s="781"/>
      <c r="AW38" s="782"/>
    </row>
    <row r="39" spans="1:49" s="356" customFormat="1" ht="15.75">
      <c r="A39" s="355"/>
      <c r="B39" s="768" t="s">
        <v>394</v>
      </c>
      <c r="C39" s="769"/>
      <c r="D39" s="502"/>
      <c r="E39" s="503">
        <f t="shared" si="3"/>
        <v>120500000</v>
      </c>
      <c r="F39" s="504">
        <f>F40</f>
        <v>0</v>
      </c>
      <c r="G39" s="505">
        <f>G40</f>
        <v>25500000</v>
      </c>
      <c r="H39" s="504">
        <f>H40</f>
        <v>75670000</v>
      </c>
      <c r="I39" s="506">
        <f>I40</f>
        <v>19330000</v>
      </c>
      <c r="J39" s="507">
        <f>SUM(K39:M39)</f>
        <v>0</v>
      </c>
      <c r="K39" s="508">
        <f>K40</f>
        <v>0</v>
      </c>
      <c r="L39" s="509">
        <f>L40</f>
        <v>0</v>
      </c>
      <c r="M39" s="508">
        <f>M40</f>
        <v>0</v>
      </c>
      <c r="N39" s="510">
        <f>N40</f>
        <v>0</v>
      </c>
      <c r="O39" s="503">
        <f>SUM(P39:S39)</f>
        <v>120500000</v>
      </c>
      <c r="P39" s="689">
        <f>P40</f>
        <v>0</v>
      </c>
      <c r="Q39" s="505">
        <f>Q40</f>
        <v>25500000</v>
      </c>
      <c r="R39" s="504">
        <f>R40</f>
        <v>75670000</v>
      </c>
      <c r="S39" s="506">
        <f>S40</f>
        <v>19330000</v>
      </c>
      <c r="T39" s="507">
        <f>SUM(U39:W39)</f>
        <v>-34461081</v>
      </c>
      <c r="U39" s="508">
        <f>U40</f>
        <v>0</v>
      </c>
      <c r="V39" s="509">
        <f>V40</f>
        <v>0</v>
      </c>
      <c r="W39" s="508">
        <f>W40</f>
        <v>-34461081</v>
      </c>
      <c r="X39" s="510">
        <f>X40</f>
        <v>34461081</v>
      </c>
      <c r="Y39" s="712">
        <f>SUM(Z39:AC39)</f>
        <v>120500000</v>
      </c>
      <c r="Z39" s="713">
        <f>Z40</f>
        <v>0</v>
      </c>
      <c r="AA39" s="714">
        <f>AA40</f>
        <v>25500000</v>
      </c>
      <c r="AB39" s="713">
        <f>AB40</f>
        <v>41208919</v>
      </c>
      <c r="AC39" s="715">
        <f>AC40</f>
        <v>53791081</v>
      </c>
      <c r="AD39" s="507">
        <f t="shared" si="35"/>
        <v>70000000</v>
      </c>
      <c r="AE39" s="508">
        <f>AE40</f>
        <v>0</v>
      </c>
      <c r="AF39" s="509">
        <f>AF40</f>
        <v>-20000000</v>
      </c>
      <c r="AG39" s="508">
        <f>AG40</f>
        <v>37284005</v>
      </c>
      <c r="AH39" s="510">
        <f>AH40</f>
        <v>52715995</v>
      </c>
      <c r="AI39" s="712">
        <f t="shared" si="37"/>
        <v>190500000</v>
      </c>
      <c r="AJ39" s="713">
        <f>AJ40</f>
        <v>0</v>
      </c>
      <c r="AK39" s="712">
        <f>AK40</f>
        <v>5500000</v>
      </c>
      <c r="AL39" s="712">
        <f>AL40</f>
        <v>78492924</v>
      </c>
      <c r="AM39" s="770">
        <f>AM40</f>
        <v>106507076</v>
      </c>
      <c r="AN39" s="507">
        <f>SUM(AO39:AR39)</f>
        <v>0</v>
      </c>
      <c r="AO39" s="508">
        <f>AO40</f>
        <v>0</v>
      </c>
      <c r="AP39" s="509">
        <f>AP40</f>
        <v>0</v>
      </c>
      <c r="AQ39" s="508">
        <f>AQ40</f>
        <v>0</v>
      </c>
      <c r="AR39" s="510">
        <f>AR40</f>
        <v>0</v>
      </c>
      <c r="AS39" s="712">
        <f>SUM(AT39:AW39)</f>
        <v>190500000</v>
      </c>
      <c r="AT39" s="713">
        <f>AT40</f>
        <v>0</v>
      </c>
      <c r="AU39" s="712">
        <f>AU40</f>
        <v>5500000</v>
      </c>
      <c r="AV39" s="712">
        <f>AV40</f>
        <v>78492924</v>
      </c>
      <c r="AW39" s="770">
        <f>AW40</f>
        <v>106507076</v>
      </c>
    </row>
    <row r="40" spans="1:49" s="358" customFormat="1" ht="15">
      <c r="A40" s="357"/>
      <c r="B40" s="511" t="s">
        <v>648</v>
      </c>
      <c r="C40" s="512"/>
      <c r="D40" s="513"/>
      <c r="E40" s="422">
        <f t="shared" si="3"/>
        <v>120500000</v>
      </c>
      <c r="F40" s="514">
        <f>F42+F65</f>
        <v>0</v>
      </c>
      <c r="G40" s="422">
        <f>G42+G65</f>
        <v>25500000</v>
      </c>
      <c r="H40" s="514">
        <f>H42+H65</f>
        <v>75670000</v>
      </c>
      <c r="I40" s="424">
        <f>I42+I65</f>
        <v>19330000</v>
      </c>
      <c r="J40" s="425">
        <f>SUM(K40:M40)</f>
        <v>0</v>
      </c>
      <c r="K40" s="515">
        <f>K42+K65</f>
        <v>0</v>
      </c>
      <c r="L40" s="426">
        <f>L42+L65</f>
        <v>0</v>
      </c>
      <c r="M40" s="515">
        <f>M42+M65</f>
        <v>0</v>
      </c>
      <c r="N40" s="428">
        <f>N42+N65</f>
        <v>0</v>
      </c>
      <c r="O40" s="422">
        <f>SUM(P40:S40)</f>
        <v>120500000</v>
      </c>
      <c r="P40" s="690">
        <f>P42+P65</f>
        <v>0</v>
      </c>
      <c r="Q40" s="422">
        <f>Q42+Q65</f>
        <v>25500000</v>
      </c>
      <c r="R40" s="514">
        <f>R42+R65</f>
        <v>75670000</v>
      </c>
      <c r="S40" s="424">
        <f>S42+S65</f>
        <v>19330000</v>
      </c>
      <c r="T40" s="425">
        <f>SUM(U40:W40)</f>
        <v>-34461081</v>
      </c>
      <c r="U40" s="515">
        <f>U42+U65</f>
        <v>0</v>
      </c>
      <c r="V40" s="426">
        <f>V42+V65</f>
        <v>0</v>
      </c>
      <c r="W40" s="515">
        <f>W42+W65</f>
        <v>-34461081</v>
      </c>
      <c r="X40" s="428">
        <f>X42+X65</f>
        <v>34461081</v>
      </c>
      <c r="Y40" s="429">
        <f>SUM(Z40:AC40)</f>
        <v>120500000</v>
      </c>
      <c r="Z40" s="716">
        <f>Z42+Z65</f>
        <v>0</v>
      </c>
      <c r="AA40" s="429">
        <f>AA42+AA65</f>
        <v>25500000</v>
      </c>
      <c r="AB40" s="716">
        <f>AB42+AB65</f>
        <v>41208919</v>
      </c>
      <c r="AC40" s="430">
        <f>AC42+AC65</f>
        <v>53791081</v>
      </c>
      <c r="AD40" s="425">
        <f t="shared" si="35"/>
        <v>70000000</v>
      </c>
      <c r="AE40" s="515">
        <f>AE42+AE65</f>
        <v>0</v>
      </c>
      <c r="AF40" s="426">
        <f>AF42+AF65</f>
        <v>-20000000</v>
      </c>
      <c r="AG40" s="515">
        <f>AG42+AG65</f>
        <v>37284005</v>
      </c>
      <c r="AH40" s="428">
        <f>AH42+AH65</f>
        <v>52715995</v>
      </c>
      <c r="AI40" s="429">
        <f t="shared" si="37"/>
        <v>190500000</v>
      </c>
      <c r="AJ40" s="716">
        <f>AJ42+AJ65</f>
        <v>0</v>
      </c>
      <c r="AK40" s="429">
        <f>AK42+AK65</f>
        <v>5500000</v>
      </c>
      <c r="AL40" s="429">
        <f>AL42+AL65</f>
        <v>78492924</v>
      </c>
      <c r="AM40" s="430">
        <f>AM42+AM65</f>
        <v>106507076</v>
      </c>
      <c r="AN40" s="425">
        <f>SUM(AO40:AR40)</f>
        <v>0</v>
      </c>
      <c r="AO40" s="515">
        <f>AO42+AO65</f>
        <v>0</v>
      </c>
      <c r="AP40" s="426">
        <f>AP42+AP65</f>
        <v>0</v>
      </c>
      <c r="AQ40" s="515">
        <f>AQ42+AQ65</f>
        <v>0</v>
      </c>
      <c r="AR40" s="428">
        <f>AR42+AR65</f>
        <v>0</v>
      </c>
      <c r="AS40" s="429">
        <f>SUM(AT40:AW40)</f>
        <v>190500000</v>
      </c>
      <c r="AT40" s="716">
        <f>AT42+AT65</f>
        <v>0</v>
      </c>
      <c r="AU40" s="429">
        <f>AU42+AU65</f>
        <v>5500000</v>
      </c>
      <c r="AV40" s="429">
        <f>AV42+AV65</f>
        <v>78492924</v>
      </c>
      <c r="AW40" s="430">
        <f>AW42+AW65</f>
        <v>106507076</v>
      </c>
    </row>
    <row r="41" spans="1:49" s="360" customFormat="1" ht="12.75">
      <c r="A41" s="359"/>
      <c r="B41" s="479" t="s">
        <v>396</v>
      </c>
      <c r="C41" s="516"/>
      <c r="D41" s="481"/>
      <c r="E41" s="482"/>
      <c r="F41" s="517"/>
      <c r="G41" s="517"/>
      <c r="H41" s="517"/>
      <c r="I41" s="518"/>
      <c r="J41" s="484"/>
      <c r="K41" s="519"/>
      <c r="L41" s="520"/>
      <c r="M41" s="519"/>
      <c r="N41" s="521"/>
      <c r="O41" s="482"/>
      <c r="P41" s="691"/>
      <c r="Q41" s="701"/>
      <c r="R41" s="702"/>
      <c r="S41" s="703"/>
      <c r="T41" s="484"/>
      <c r="U41" s="519"/>
      <c r="V41" s="520"/>
      <c r="W41" s="519"/>
      <c r="X41" s="521"/>
      <c r="Y41" s="709"/>
      <c r="Z41" s="717"/>
      <c r="AA41" s="718"/>
      <c r="AB41" s="717"/>
      <c r="AC41" s="719"/>
      <c r="AD41" s="484"/>
      <c r="AE41" s="519"/>
      <c r="AF41" s="520"/>
      <c r="AG41" s="519"/>
      <c r="AH41" s="521"/>
      <c r="AI41" s="709"/>
      <c r="AJ41" s="717"/>
      <c r="AK41" s="718"/>
      <c r="AL41" s="717"/>
      <c r="AM41" s="719"/>
      <c r="AN41" s="484"/>
      <c r="AO41" s="519"/>
      <c r="AP41" s="520"/>
      <c r="AQ41" s="519"/>
      <c r="AR41" s="521"/>
      <c r="AS41" s="709"/>
      <c r="AT41" s="717"/>
      <c r="AU41" s="718"/>
      <c r="AV41" s="717"/>
      <c r="AW41" s="719"/>
    </row>
    <row r="42" spans="1:49" s="358" customFormat="1" ht="15">
      <c r="A42" s="357"/>
      <c r="B42" s="511" t="s">
        <v>397</v>
      </c>
      <c r="C42" s="522"/>
      <c r="D42" s="513"/>
      <c r="E42" s="422">
        <f t="shared" si="3"/>
        <v>120500000</v>
      </c>
      <c r="F42" s="514">
        <f>F43+F55</f>
        <v>0</v>
      </c>
      <c r="G42" s="422">
        <f>G43+G55</f>
        <v>25500000</v>
      </c>
      <c r="H42" s="514">
        <f>H43+H55</f>
        <v>75670000</v>
      </c>
      <c r="I42" s="424">
        <f>I43+I55</f>
        <v>19330000</v>
      </c>
      <c r="J42" s="425">
        <f>SUM(K42:M42)</f>
        <v>0</v>
      </c>
      <c r="K42" s="515">
        <f>K43+K55</f>
        <v>0</v>
      </c>
      <c r="L42" s="426">
        <f>L43+L55</f>
        <v>0</v>
      </c>
      <c r="M42" s="515">
        <f>M43+M55</f>
        <v>0</v>
      </c>
      <c r="N42" s="428">
        <f>N43+N55</f>
        <v>0</v>
      </c>
      <c r="O42" s="422">
        <f>SUM(P42:S42)</f>
        <v>120500000</v>
      </c>
      <c r="P42" s="690">
        <f>P43+P55</f>
        <v>0</v>
      </c>
      <c r="Q42" s="422">
        <f>Q43+Q55</f>
        <v>25500000</v>
      </c>
      <c r="R42" s="514">
        <f>R43+R55</f>
        <v>75670000</v>
      </c>
      <c r="S42" s="424">
        <f>S43+S55</f>
        <v>19330000</v>
      </c>
      <c r="T42" s="425">
        <f>SUM(U42:W42)</f>
        <v>-34461081</v>
      </c>
      <c r="U42" s="515">
        <f>U43+U55</f>
        <v>0</v>
      </c>
      <c r="V42" s="426">
        <f>V43+V55</f>
        <v>0</v>
      </c>
      <c r="W42" s="515">
        <f>W43+W55</f>
        <v>-34461081</v>
      </c>
      <c r="X42" s="428">
        <f>X43+X55</f>
        <v>34461081</v>
      </c>
      <c r="Y42" s="429">
        <f>SUM(Z42:AC42)</f>
        <v>120500000</v>
      </c>
      <c r="Z42" s="716">
        <f>Z43+Z55</f>
        <v>0</v>
      </c>
      <c r="AA42" s="429">
        <f>AA43+AA55</f>
        <v>25500000</v>
      </c>
      <c r="AB42" s="716">
        <f>AB43+AB55</f>
        <v>41208919</v>
      </c>
      <c r="AC42" s="430">
        <f>AC43+AC55</f>
        <v>53791081</v>
      </c>
      <c r="AD42" s="425">
        <f>SUM(AE42:AH42)</f>
        <v>70000000</v>
      </c>
      <c r="AE42" s="515">
        <f>AE43+AE55</f>
        <v>0</v>
      </c>
      <c r="AF42" s="426">
        <f>AF43+AF55</f>
        <v>-20000000</v>
      </c>
      <c r="AG42" s="515">
        <f>AG43+AG55</f>
        <v>37284005</v>
      </c>
      <c r="AH42" s="428">
        <f>AH43+AH55</f>
        <v>52715995</v>
      </c>
      <c r="AI42" s="429">
        <f aca="true" t="shared" si="39" ref="AI42:AI47">SUM(AJ42:AM42)</f>
        <v>190500000</v>
      </c>
      <c r="AJ42" s="716">
        <f>AJ43+AJ55</f>
        <v>0</v>
      </c>
      <c r="AK42" s="730">
        <f>AK43+AK55</f>
        <v>5500000</v>
      </c>
      <c r="AL42" s="716">
        <f>AL43+AL55</f>
        <v>78492924</v>
      </c>
      <c r="AM42" s="430">
        <f>AM43+AM55</f>
        <v>106507076</v>
      </c>
      <c r="AN42" s="425">
        <f>SUM(AO42:AR42)</f>
        <v>0</v>
      </c>
      <c r="AO42" s="515">
        <f>AO43+AO55</f>
        <v>0</v>
      </c>
      <c r="AP42" s="426">
        <f>AP43+AP55</f>
        <v>0</v>
      </c>
      <c r="AQ42" s="515">
        <f>AQ43+AQ55</f>
        <v>0</v>
      </c>
      <c r="AR42" s="428">
        <f>AR43+AR55</f>
        <v>0</v>
      </c>
      <c r="AS42" s="429">
        <f aca="true" t="shared" si="40" ref="AS42:AS47">SUM(AT42:AW42)</f>
        <v>190500000</v>
      </c>
      <c r="AT42" s="716">
        <f>AT43+AT55</f>
        <v>0</v>
      </c>
      <c r="AU42" s="730">
        <f>AU43+AU55</f>
        <v>5500000</v>
      </c>
      <c r="AV42" s="716">
        <f>AV43+AV55</f>
        <v>78492924</v>
      </c>
      <c r="AW42" s="430">
        <f>AW43+AW55</f>
        <v>106507076</v>
      </c>
    </row>
    <row r="43" spans="1:49" s="362" customFormat="1" ht="14.25" customHeight="1">
      <c r="A43" s="361"/>
      <c r="B43" s="523">
        <v>600</v>
      </c>
      <c r="C43" s="446"/>
      <c r="D43" s="447" t="s">
        <v>31</v>
      </c>
      <c r="E43" s="448">
        <f t="shared" si="3"/>
        <v>120500000</v>
      </c>
      <c r="F43" s="448">
        <f>F46+F44</f>
        <v>0</v>
      </c>
      <c r="G43" s="448">
        <f>G46+G44</f>
        <v>25500000</v>
      </c>
      <c r="H43" s="448">
        <f>H46+H44</f>
        <v>75670000</v>
      </c>
      <c r="I43" s="450">
        <f>I46+I44</f>
        <v>19330000</v>
      </c>
      <c r="J43" s="524">
        <f>SUM(K43:M43)</f>
        <v>0</v>
      </c>
      <c r="K43" s="452">
        <f>K46</f>
        <v>0</v>
      </c>
      <c r="L43" s="452">
        <f>L46</f>
        <v>0</v>
      </c>
      <c r="M43" s="525">
        <f>M46</f>
        <v>0</v>
      </c>
      <c r="N43" s="454">
        <f>N46</f>
        <v>0</v>
      </c>
      <c r="O43" s="448">
        <f>SUM(P43:S43)</f>
        <v>120500000</v>
      </c>
      <c r="P43" s="692">
        <f>P46</f>
        <v>0</v>
      </c>
      <c r="Q43" s="448">
        <f>Q46+Q44</f>
        <v>25500000</v>
      </c>
      <c r="R43" s="704">
        <f>R46</f>
        <v>75670000</v>
      </c>
      <c r="S43" s="450">
        <f>S46</f>
        <v>19330000</v>
      </c>
      <c r="T43" s="524">
        <f>SUM(U43:W43)</f>
        <v>-34461081</v>
      </c>
      <c r="U43" s="452">
        <f>U46</f>
        <v>0</v>
      </c>
      <c r="V43" s="452">
        <f>V46</f>
        <v>0</v>
      </c>
      <c r="W43" s="525">
        <f>W46</f>
        <v>-34461081</v>
      </c>
      <c r="X43" s="454">
        <f>X46</f>
        <v>34461081</v>
      </c>
      <c r="Y43" s="455">
        <f>SUM(Z43:AC43)</f>
        <v>120500000</v>
      </c>
      <c r="Z43" s="455">
        <f>Z46</f>
        <v>0</v>
      </c>
      <c r="AA43" s="455">
        <f>AA46+AA44</f>
        <v>25500000</v>
      </c>
      <c r="AB43" s="526">
        <f>AB46</f>
        <v>41208919</v>
      </c>
      <c r="AC43" s="456">
        <f>AC46</f>
        <v>53791081</v>
      </c>
      <c r="AD43" s="524">
        <f>SUM(AE43:AG43)</f>
        <v>-7080795</v>
      </c>
      <c r="AE43" s="452">
        <f>AE46</f>
        <v>0</v>
      </c>
      <c r="AF43" s="452">
        <f>AF46+AF44</f>
        <v>-20000000</v>
      </c>
      <c r="AG43" s="525">
        <f>AG46+AG44</f>
        <v>12919205</v>
      </c>
      <c r="AH43" s="454">
        <f>AH46</f>
        <v>7080795</v>
      </c>
      <c r="AI43" s="455">
        <f t="shared" si="39"/>
        <v>120500000</v>
      </c>
      <c r="AJ43" s="731">
        <f>AJ46</f>
        <v>0</v>
      </c>
      <c r="AK43" s="730">
        <f>AK44+AK56</f>
        <v>5500000</v>
      </c>
      <c r="AL43" s="526">
        <f>AL46+AL44</f>
        <v>54128124</v>
      </c>
      <c r="AM43" s="741">
        <f>AM46+AM44</f>
        <v>60871876</v>
      </c>
      <c r="AN43" s="524">
        <f>SUM(AO43:AQ43)</f>
        <v>0</v>
      </c>
      <c r="AO43" s="452">
        <f>AO46</f>
        <v>0</v>
      </c>
      <c r="AP43" s="452">
        <f>AP46+AP44</f>
        <v>0</v>
      </c>
      <c r="AQ43" s="525">
        <f>AQ46+AQ44</f>
        <v>0</v>
      </c>
      <c r="AR43" s="454">
        <f>AR46</f>
        <v>0</v>
      </c>
      <c r="AS43" s="455">
        <f t="shared" si="40"/>
        <v>120500000</v>
      </c>
      <c r="AT43" s="731">
        <f>AT46</f>
        <v>0</v>
      </c>
      <c r="AU43" s="730">
        <f>AU44+AU56</f>
        <v>5500000</v>
      </c>
      <c r="AV43" s="526">
        <f>AV46+AV44</f>
        <v>54128124</v>
      </c>
      <c r="AW43" s="741">
        <f>AW46+AW44</f>
        <v>60871876</v>
      </c>
    </row>
    <row r="44" spans="1:49" s="360" customFormat="1" ht="19.5" customHeight="1">
      <c r="A44" s="350"/>
      <c r="B44" s="527">
        <v>60004</v>
      </c>
      <c r="C44" s="528"/>
      <c r="D44" s="529" t="s">
        <v>32</v>
      </c>
      <c r="E44" s="530">
        <f t="shared" si="3"/>
        <v>25500000</v>
      </c>
      <c r="F44" s="531">
        <f aca="true" t="shared" si="41" ref="F44:Q45">F45</f>
        <v>0</v>
      </c>
      <c r="G44" s="531">
        <f t="shared" si="41"/>
        <v>25500000</v>
      </c>
      <c r="H44" s="531">
        <f t="shared" si="41"/>
        <v>0</v>
      </c>
      <c r="I44" s="532">
        <f t="shared" si="41"/>
        <v>0</v>
      </c>
      <c r="J44" s="533">
        <f t="shared" si="41"/>
        <v>0</v>
      </c>
      <c r="K44" s="534">
        <f t="shared" si="41"/>
        <v>0</v>
      </c>
      <c r="L44" s="534">
        <f t="shared" si="41"/>
        <v>0</v>
      </c>
      <c r="M44" s="534">
        <f t="shared" si="41"/>
        <v>0</v>
      </c>
      <c r="N44" s="534">
        <f t="shared" si="41"/>
        <v>0</v>
      </c>
      <c r="O44" s="530">
        <f t="shared" si="41"/>
        <v>25500000</v>
      </c>
      <c r="P44" s="693">
        <f t="shared" si="41"/>
        <v>0</v>
      </c>
      <c r="Q44" s="531">
        <f t="shared" si="41"/>
        <v>25500000</v>
      </c>
      <c r="R44" s="531">
        <v>0</v>
      </c>
      <c r="S44" s="532">
        <v>0</v>
      </c>
      <c r="T44" s="533">
        <f aca="true" t="shared" si="42" ref="T44:AA44">T45</f>
        <v>0</v>
      </c>
      <c r="U44" s="534">
        <f t="shared" si="42"/>
        <v>0</v>
      </c>
      <c r="V44" s="534">
        <f t="shared" si="42"/>
        <v>0</v>
      </c>
      <c r="W44" s="534">
        <f t="shared" si="42"/>
        <v>0</v>
      </c>
      <c r="X44" s="534">
        <f t="shared" si="42"/>
        <v>0</v>
      </c>
      <c r="Y44" s="584">
        <f t="shared" si="42"/>
        <v>25500000</v>
      </c>
      <c r="Z44" s="535">
        <f t="shared" si="42"/>
        <v>0</v>
      </c>
      <c r="AA44" s="535">
        <f t="shared" si="42"/>
        <v>25500000</v>
      </c>
      <c r="AB44" s="535">
        <v>0</v>
      </c>
      <c r="AC44" s="586">
        <v>0</v>
      </c>
      <c r="AD44" s="533">
        <f>AD45</f>
        <v>0</v>
      </c>
      <c r="AE44" s="534">
        <f>AE45</f>
        <v>0</v>
      </c>
      <c r="AF44" s="534">
        <f>AF45</f>
        <v>-20000000</v>
      </c>
      <c r="AG44" s="534">
        <f>AG45</f>
        <v>20000000</v>
      </c>
      <c r="AH44" s="534">
        <f>AH45</f>
        <v>0</v>
      </c>
      <c r="AI44" s="720">
        <f t="shared" si="39"/>
        <v>25500000</v>
      </c>
      <c r="AJ44" s="720">
        <f>AJ47</f>
        <v>0</v>
      </c>
      <c r="AK44" s="729">
        <f>AK45+AK57</f>
        <v>5500000</v>
      </c>
      <c r="AL44" s="535">
        <f aca="true" t="shared" si="43" ref="AL44:AR44">AL45</f>
        <v>20000000</v>
      </c>
      <c r="AM44" s="586">
        <f t="shared" si="43"/>
        <v>0</v>
      </c>
      <c r="AN44" s="533">
        <f t="shared" si="43"/>
        <v>0</v>
      </c>
      <c r="AO44" s="534">
        <f t="shared" si="43"/>
        <v>0</v>
      </c>
      <c r="AP44" s="534">
        <f t="shared" si="43"/>
        <v>0</v>
      </c>
      <c r="AQ44" s="534">
        <f t="shared" si="43"/>
        <v>0</v>
      </c>
      <c r="AR44" s="534">
        <f t="shared" si="43"/>
        <v>0</v>
      </c>
      <c r="AS44" s="720">
        <f t="shared" si="40"/>
        <v>25500000</v>
      </c>
      <c r="AT44" s="720">
        <f>AT47</f>
        <v>0</v>
      </c>
      <c r="AU44" s="729">
        <f>AU45+AU57</f>
        <v>5500000</v>
      </c>
      <c r="AV44" s="535">
        <f>AV45</f>
        <v>20000000</v>
      </c>
      <c r="AW44" s="586">
        <f>AW45</f>
        <v>0</v>
      </c>
    </row>
    <row r="45" spans="1:49" s="364" customFormat="1" ht="37.5" customHeight="1">
      <c r="A45" s="363"/>
      <c r="B45" s="536">
        <v>6050</v>
      </c>
      <c r="C45" s="537" t="s">
        <v>668</v>
      </c>
      <c r="D45" s="538" t="s">
        <v>667</v>
      </c>
      <c r="E45" s="539">
        <f t="shared" si="3"/>
        <v>25500000</v>
      </c>
      <c r="F45" s="540">
        <v>0</v>
      </c>
      <c r="G45" s="541">
        <v>25500000</v>
      </c>
      <c r="H45" s="542"/>
      <c r="I45" s="543">
        <v>0</v>
      </c>
      <c r="J45" s="544"/>
      <c r="K45" s="545"/>
      <c r="L45" s="545"/>
      <c r="M45" s="546"/>
      <c r="N45" s="547"/>
      <c r="O45" s="539">
        <f>SUM(P45:S45)</f>
        <v>25500000</v>
      </c>
      <c r="P45" s="694">
        <f t="shared" si="41"/>
        <v>0</v>
      </c>
      <c r="Q45" s="461">
        <f>G45+L45</f>
        <v>25500000</v>
      </c>
      <c r="R45" s="461">
        <v>0</v>
      </c>
      <c r="S45" s="462">
        <v>0</v>
      </c>
      <c r="T45" s="544"/>
      <c r="U45" s="545"/>
      <c r="V45" s="545"/>
      <c r="W45" s="546"/>
      <c r="X45" s="547"/>
      <c r="Y45" s="720">
        <f>SUM(Z45:AC45)</f>
        <v>25500000</v>
      </c>
      <c r="Z45" s="721">
        <f>Z46</f>
        <v>0</v>
      </c>
      <c r="AA45" s="721">
        <f>Q45+V45</f>
        <v>25500000</v>
      </c>
      <c r="AB45" s="721">
        <v>0</v>
      </c>
      <c r="AC45" s="707">
        <v>0</v>
      </c>
      <c r="AD45" s="544"/>
      <c r="AE45" s="545"/>
      <c r="AF45" s="545">
        <v>-20000000</v>
      </c>
      <c r="AG45" s="546">
        <v>20000000</v>
      </c>
      <c r="AH45" s="547">
        <v>0</v>
      </c>
      <c r="AI45" s="720">
        <f t="shared" si="39"/>
        <v>25500000</v>
      </c>
      <c r="AJ45" s="720">
        <f>Z45+AE45</f>
        <v>0</v>
      </c>
      <c r="AK45" s="720">
        <f>AA45+AF45</f>
        <v>5500000</v>
      </c>
      <c r="AL45" s="721">
        <f>AB45+AG45</f>
        <v>20000000</v>
      </c>
      <c r="AM45" s="707">
        <f>AC45+AH45</f>
        <v>0</v>
      </c>
      <c r="AN45" s="544"/>
      <c r="AO45" s="545"/>
      <c r="AP45" s="545">
        <v>0</v>
      </c>
      <c r="AQ45" s="546">
        <v>0</v>
      </c>
      <c r="AR45" s="547">
        <v>0</v>
      </c>
      <c r="AS45" s="720">
        <f t="shared" si="40"/>
        <v>25500000</v>
      </c>
      <c r="AT45" s="720">
        <f>AJ45+AO45</f>
        <v>0</v>
      </c>
      <c r="AU45" s="720">
        <f>AK45+AP45</f>
        <v>5500000</v>
      </c>
      <c r="AV45" s="721">
        <f>AL45+AQ45</f>
        <v>20000000</v>
      </c>
      <c r="AW45" s="707">
        <f>AM45+AR45</f>
        <v>0</v>
      </c>
    </row>
    <row r="46" spans="1:49" s="360" customFormat="1" ht="19.5" customHeight="1">
      <c r="A46" s="350"/>
      <c r="B46" s="498">
        <v>60016</v>
      </c>
      <c r="C46" s="499"/>
      <c r="D46" s="500" t="s">
        <v>52</v>
      </c>
      <c r="E46" s="530">
        <f t="shared" si="3"/>
        <v>95000000</v>
      </c>
      <c r="F46" s="548">
        <f>SUM(F47:F54)</f>
        <v>0</v>
      </c>
      <c r="G46" s="549">
        <f>SUM(G47:G54)</f>
        <v>0</v>
      </c>
      <c r="H46" s="550">
        <f>SUM(H47:H54)</f>
        <v>75670000</v>
      </c>
      <c r="I46" s="532">
        <f>SUM(I47:I54)</f>
        <v>19330000</v>
      </c>
      <c r="J46" s="551">
        <f>SUM(K46:M46)</f>
        <v>0</v>
      </c>
      <c r="K46" s="552">
        <f>SUM(K47:K54)</f>
        <v>0</v>
      </c>
      <c r="L46" s="552">
        <f>SUM(L47:L54)</f>
        <v>0</v>
      </c>
      <c r="M46" s="553">
        <f>SUM(M47:M54)</f>
        <v>0</v>
      </c>
      <c r="N46" s="554">
        <f>SUM(N47:N54)</f>
        <v>0</v>
      </c>
      <c r="O46" s="530">
        <f>SUM(P46:S46)</f>
        <v>95000000</v>
      </c>
      <c r="P46" s="695">
        <f>SUM(P47:P54)</f>
        <v>0</v>
      </c>
      <c r="Q46" s="531">
        <f>SUM(Q47:Q54)</f>
        <v>0</v>
      </c>
      <c r="R46" s="530">
        <f>SUM(R47:R54)</f>
        <v>75670000</v>
      </c>
      <c r="S46" s="705">
        <f>SUM(S47:S54)</f>
        <v>19330000</v>
      </c>
      <c r="T46" s="551">
        <f aca="true" t="shared" si="44" ref="T46:T61">SUM(U46:W46)</f>
        <v>-34461081</v>
      </c>
      <c r="U46" s="552">
        <f>SUM(U47:U54)</f>
        <v>0</v>
      </c>
      <c r="V46" s="552">
        <f>SUM(V47:V54)</f>
        <v>0</v>
      </c>
      <c r="W46" s="553">
        <f>SUM(W47:W54)</f>
        <v>-34461081</v>
      </c>
      <c r="X46" s="554">
        <f>SUM(X47:X54)</f>
        <v>34461081</v>
      </c>
      <c r="Y46" s="584">
        <f>SUM(Z46:AC46)</f>
        <v>95000000</v>
      </c>
      <c r="Z46" s="722">
        <f>SUM(Z47:Z54)</f>
        <v>0</v>
      </c>
      <c r="AA46" s="535">
        <f>SUM(AA47:AA54)</f>
        <v>0</v>
      </c>
      <c r="AB46" s="584">
        <f>SUM(AB47:AB54)</f>
        <v>41208919</v>
      </c>
      <c r="AC46" s="723">
        <f>SUM(AC47:AC54)</f>
        <v>53791081</v>
      </c>
      <c r="AD46" s="551">
        <f aca="true" t="shared" si="45" ref="AD46:AD61">SUM(AE46:AG46)</f>
        <v>-7080795</v>
      </c>
      <c r="AE46" s="552">
        <f>SUM(AE47:AE54)</f>
        <v>0</v>
      </c>
      <c r="AF46" s="552">
        <f>SUM(AF47:AF54)</f>
        <v>0</v>
      </c>
      <c r="AG46" s="553">
        <f>SUM(AG47:AG54)</f>
        <v>-7080795</v>
      </c>
      <c r="AH46" s="554">
        <f>SUM(AH47:AH54)</f>
        <v>7080795</v>
      </c>
      <c r="AI46" s="584">
        <f t="shared" si="39"/>
        <v>95000000</v>
      </c>
      <c r="AJ46" s="720">
        <f>AJ49</f>
        <v>0</v>
      </c>
      <c r="AK46" s="729">
        <f>AK47+AK59</f>
        <v>0</v>
      </c>
      <c r="AL46" s="584">
        <f>SUM(AL47:AL54)</f>
        <v>34128124</v>
      </c>
      <c r="AM46" s="723">
        <f>SUM(AM47:AM54)</f>
        <v>60871876</v>
      </c>
      <c r="AN46" s="551">
        <f aca="true" t="shared" si="46" ref="AN46:AN54">SUM(AO46:AQ46)</f>
        <v>0</v>
      </c>
      <c r="AO46" s="552">
        <f>SUM(AO47:AO54)</f>
        <v>0</v>
      </c>
      <c r="AP46" s="552">
        <f>SUM(AP47:AP54)</f>
        <v>0</v>
      </c>
      <c r="AQ46" s="553">
        <f>SUM(AQ47:AQ54)</f>
        <v>0</v>
      </c>
      <c r="AR46" s="554">
        <f>SUM(AR47:AR54)</f>
        <v>0</v>
      </c>
      <c r="AS46" s="584">
        <f t="shared" si="40"/>
        <v>95000000</v>
      </c>
      <c r="AT46" s="720">
        <f>AT49</f>
        <v>0</v>
      </c>
      <c r="AU46" s="729">
        <f>AU47+AU59</f>
        <v>0</v>
      </c>
      <c r="AV46" s="584">
        <f>SUM(AV47:AV54)</f>
        <v>34128124</v>
      </c>
      <c r="AW46" s="723">
        <f>SUM(AW47:AW54)</f>
        <v>60871876</v>
      </c>
    </row>
    <row r="47" spans="1:49" s="366" customFormat="1" ht="41.25" customHeight="1">
      <c r="A47" s="365"/>
      <c r="B47" s="751">
        <v>6050</v>
      </c>
      <c r="C47" s="501" t="s">
        <v>665</v>
      </c>
      <c r="D47" s="752" t="s">
        <v>671</v>
      </c>
      <c r="E47" s="753">
        <f t="shared" si="3"/>
        <v>95000000</v>
      </c>
      <c r="F47" s="753">
        <v>0</v>
      </c>
      <c r="G47" s="754">
        <v>0</v>
      </c>
      <c r="H47" s="755">
        <v>75670000</v>
      </c>
      <c r="I47" s="756">
        <v>19330000</v>
      </c>
      <c r="J47" s="757">
        <f>SUM(K47:M47)</f>
        <v>0</v>
      </c>
      <c r="K47" s="758">
        <v>0</v>
      </c>
      <c r="L47" s="759">
        <v>0</v>
      </c>
      <c r="M47" s="760"/>
      <c r="N47" s="761"/>
      <c r="O47" s="753">
        <f>SUM(P47:S47)</f>
        <v>95000000</v>
      </c>
      <c r="P47" s="762">
        <f>F47+K47</f>
        <v>0</v>
      </c>
      <c r="Q47" s="472">
        <f>G47+L47</f>
        <v>0</v>
      </c>
      <c r="R47" s="763">
        <f>H47+M47</f>
        <v>75670000</v>
      </c>
      <c r="S47" s="756">
        <f>I47+N47</f>
        <v>19330000</v>
      </c>
      <c r="T47" s="757">
        <f t="shared" si="44"/>
        <v>-34461081</v>
      </c>
      <c r="U47" s="758">
        <v>0</v>
      </c>
      <c r="V47" s="759">
        <v>0</v>
      </c>
      <c r="W47" s="760">
        <v>-34461081</v>
      </c>
      <c r="X47" s="761">
        <v>34461081</v>
      </c>
      <c r="Y47" s="764">
        <f>SUM(Z47:AC47)</f>
        <v>95000000</v>
      </c>
      <c r="Z47" s="764">
        <f>P47+U47</f>
        <v>0</v>
      </c>
      <c r="AA47" s="765">
        <f>Q47+V47</f>
        <v>0</v>
      </c>
      <c r="AB47" s="766">
        <f>R47+W47</f>
        <v>41208919</v>
      </c>
      <c r="AC47" s="767">
        <f>S47+X47</f>
        <v>53791081</v>
      </c>
      <c r="AD47" s="757">
        <f t="shared" si="45"/>
        <v>-7080795</v>
      </c>
      <c r="AE47" s="758">
        <v>0</v>
      </c>
      <c r="AF47" s="759">
        <v>0</v>
      </c>
      <c r="AG47" s="760">
        <v>-7080795</v>
      </c>
      <c r="AH47" s="761">
        <v>7080795</v>
      </c>
      <c r="AI47" s="764">
        <f t="shared" si="39"/>
        <v>95000000</v>
      </c>
      <c r="AJ47" s="764">
        <f>Z47+AE47</f>
        <v>0</v>
      </c>
      <c r="AK47" s="765">
        <f>AA47+AF47</f>
        <v>0</v>
      </c>
      <c r="AL47" s="766">
        <f>AB47+AG47</f>
        <v>34128124</v>
      </c>
      <c r="AM47" s="767">
        <f>AC47+AH47</f>
        <v>60871876</v>
      </c>
      <c r="AN47" s="757">
        <f t="shared" si="46"/>
        <v>0</v>
      </c>
      <c r="AO47" s="758">
        <v>0</v>
      </c>
      <c r="AP47" s="759">
        <v>0</v>
      </c>
      <c r="AQ47" s="760">
        <v>0</v>
      </c>
      <c r="AR47" s="761">
        <v>0</v>
      </c>
      <c r="AS47" s="764">
        <f t="shared" si="40"/>
        <v>95000000</v>
      </c>
      <c r="AT47" s="764">
        <f>AJ47+AO47</f>
        <v>0</v>
      </c>
      <c r="AU47" s="765">
        <f>AK47+AP47</f>
        <v>0</v>
      </c>
      <c r="AV47" s="766">
        <f>AL47+AQ47</f>
        <v>34128124</v>
      </c>
      <c r="AW47" s="767">
        <f>AM47+AR47</f>
        <v>60871876</v>
      </c>
    </row>
    <row r="48" spans="1:49" s="362" customFormat="1" ht="12.75" customHeight="1" hidden="1">
      <c r="A48" s="361"/>
      <c r="B48" s="742">
        <v>6050</v>
      </c>
      <c r="C48" s="556" t="s">
        <v>492</v>
      </c>
      <c r="D48" s="557" t="s">
        <v>653</v>
      </c>
      <c r="E48" s="558">
        <f t="shared" si="3"/>
        <v>0</v>
      </c>
      <c r="F48" s="559"/>
      <c r="G48" s="560"/>
      <c r="H48" s="561">
        <v>0</v>
      </c>
      <c r="I48" s="562">
        <v>0</v>
      </c>
      <c r="J48" s="563">
        <f aca="true" t="shared" si="47" ref="J48:J84">SUM(K48:M48)</f>
        <v>0</v>
      </c>
      <c r="K48" s="564"/>
      <c r="L48" s="565"/>
      <c r="M48" s="566"/>
      <c r="N48" s="567"/>
      <c r="O48" s="558">
        <f aca="true" t="shared" si="48" ref="O48:O84">SUM(P48:R48)</f>
        <v>0</v>
      </c>
      <c r="P48" s="559">
        <f aca="true" t="shared" si="49" ref="P48:Q54">F48+K48</f>
        <v>0</v>
      </c>
      <c r="Q48" s="559">
        <f t="shared" si="49"/>
        <v>0</v>
      </c>
      <c r="R48" s="568">
        <f aca="true" t="shared" si="50" ref="R48:S54">H48+M48</f>
        <v>0</v>
      </c>
      <c r="S48" s="562">
        <f t="shared" si="50"/>
        <v>0</v>
      </c>
      <c r="T48" s="563">
        <f t="shared" si="44"/>
        <v>0</v>
      </c>
      <c r="U48" s="564"/>
      <c r="V48" s="565"/>
      <c r="W48" s="566"/>
      <c r="X48" s="567"/>
      <c r="Y48" s="558">
        <f aca="true" t="shared" si="51" ref="Y48:Y61">SUM(Z48:AB48)</f>
        <v>0</v>
      </c>
      <c r="Z48" s="559">
        <f aca="true" t="shared" si="52" ref="Z48:Z54">P48+U48</f>
        <v>0</v>
      </c>
      <c r="AA48" s="559">
        <f aca="true" t="shared" si="53" ref="AA48:AA54">Q48+V48</f>
        <v>0</v>
      </c>
      <c r="AB48" s="568">
        <f aca="true" t="shared" si="54" ref="AB48:AB54">R48+W48</f>
        <v>0</v>
      </c>
      <c r="AC48" s="562">
        <f aca="true" t="shared" si="55" ref="AC48:AC54">S48+X48</f>
        <v>0</v>
      </c>
      <c r="AD48" s="563">
        <f t="shared" si="45"/>
        <v>0</v>
      </c>
      <c r="AE48" s="564"/>
      <c r="AF48" s="565"/>
      <c r="AG48" s="566"/>
      <c r="AH48" s="567"/>
      <c r="AI48" s="558">
        <f aca="true" t="shared" si="56" ref="AI48:AI61">SUM(AJ48:AL48)</f>
        <v>0</v>
      </c>
      <c r="AJ48" s="559">
        <f aca="true" t="shared" si="57" ref="AJ48:AJ54">Z48+AE48</f>
        <v>0</v>
      </c>
      <c r="AK48" s="559">
        <f aca="true" t="shared" si="58" ref="AK48:AK54">AA48+AF48</f>
        <v>0</v>
      </c>
      <c r="AL48" s="568">
        <f aca="true" t="shared" si="59" ref="AL48:AL54">AB48+AG48</f>
        <v>0</v>
      </c>
      <c r="AM48" s="562">
        <f aca="true" t="shared" si="60" ref="AM48:AM54">AC48+AH48</f>
        <v>0</v>
      </c>
      <c r="AN48" s="563">
        <f t="shared" si="46"/>
        <v>0</v>
      </c>
      <c r="AO48" s="564"/>
      <c r="AP48" s="565"/>
      <c r="AQ48" s="566"/>
      <c r="AR48" s="567"/>
      <c r="AS48" s="558">
        <f aca="true" t="shared" si="61" ref="AS48:AS54">SUM(AT48:AV48)</f>
        <v>0</v>
      </c>
      <c r="AT48" s="559">
        <f aca="true" t="shared" si="62" ref="AT48:AT54">AJ48+AO48</f>
        <v>0</v>
      </c>
      <c r="AU48" s="559">
        <f aca="true" t="shared" si="63" ref="AU48:AU54">AK48+AP48</f>
        <v>0</v>
      </c>
      <c r="AV48" s="568">
        <f aca="true" t="shared" si="64" ref="AV48:AV54">AL48+AQ48</f>
        <v>0</v>
      </c>
      <c r="AW48" s="562">
        <f aca="true" t="shared" si="65" ref="AW48:AW54">AM48+AR48</f>
        <v>0</v>
      </c>
    </row>
    <row r="49" spans="1:49" s="362" customFormat="1" ht="12.75" customHeight="1" hidden="1">
      <c r="A49" s="361"/>
      <c r="B49" s="742">
        <v>6050</v>
      </c>
      <c r="C49" s="556" t="s">
        <v>618</v>
      </c>
      <c r="D49" s="557" t="s">
        <v>654</v>
      </c>
      <c r="E49" s="558">
        <f t="shared" si="3"/>
        <v>0</v>
      </c>
      <c r="F49" s="559"/>
      <c r="G49" s="560"/>
      <c r="H49" s="561">
        <v>0</v>
      </c>
      <c r="I49" s="562">
        <v>0</v>
      </c>
      <c r="J49" s="563">
        <f t="shared" si="47"/>
        <v>0</v>
      </c>
      <c r="K49" s="564"/>
      <c r="L49" s="565"/>
      <c r="M49" s="566"/>
      <c r="N49" s="567"/>
      <c r="O49" s="558">
        <f t="shared" si="48"/>
        <v>0</v>
      </c>
      <c r="P49" s="559">
        <f t="shared" si="49"/>
        <v>0</v>
      </c>
      <c r="Q49" s="559">
        <f t="shared" si="49"/>
        <v>0</v>
      </c>
      <c r="R49" s="568">
        <f t="shared" si="50"/>
        <v>0</v>
      </c>
      <c r="S49" s="562">
        <f t="shared" si="50"/>
        <v>0</v>
      </c>
      <c r="T49" s="563">
        <f t="shared" si="44"/>
        <v>0</v>
      </c>
      <c r="U49" s="564"/>
      <c r="V49" s="565"/>
      <c r="W49" s="566"/>
      <c r="X49" s="567"/>
      <c r="Y49" s="558">
        <f t="shared" si="51"/>
        <v>0</v>
      </c>
      <c r="Z49" s="559">
        <f t="shared" si="52"/>
        <v>0</v>
      </c>
      <c r="AA49" s="559">
        <f t="shared" si="53"/>
        <v>0</v>
      </c>
      <c r="AB49" s="568">
        <f t="shared" si="54"/>
        <v>0</v>
      </c>
      <c r="AC49" s="562">
        <f t="shared" si="55"/>
        <v>0</v>
      </c>
      <c r="AD49" s="563">
        <f t="shared" si="45"/>
        <v>0</v>
      </c>
      <c r="AE49" s="564"/>
      <c r="AF49" s="565"/>
      <c r="AG49" s="566"/>
      <c r="AH49" s="567"/>
      <c r="AI49" s="558">
        <f t="shared" si="56"/>
        <v>0</v>
      </c>
      <c r="AJ49" s="559">
        <f t="shared" si="57"/>
        <v>0</v>
      </c>
      <c r="AK49" s="559">
        <f t="shared" si="58"/>
        <v>0</v>
      </c>
      <c r="AL49" s="568">
        <f t="shared" si="59"/>
        <v>0</v>
      </c>
      <c r="AM49" s="562">
        <f t="shared" si="60"/>
        <v>0</v>
      </c>
      <c r="AN49" s="563">
        <f t="shared" si="46"/>
        <v>0</v>
      </c>
      <c r="AO49" s="564"/>
      <c r="AP49" s="565"/>
      <c r="AQ49" s="566"/>
      <c r="AR49" s="567"/>
      <c r="AS49" s="558">
        <f t="shared" si="61"/>
        <v>0</v>
      </c>
      <c r="AT49" s="559">
        <f t="shared" si="62"/>
        <v>0</v>
      </c>
      <c r="AU49" s="559">
        <f t="shared" si="63"/>
        <v>0</v>
      </c>
      <c r="AV49" s="568">
        <f t="shared" si="64"/>
        <v>0</v>
      </c>
      <c r="AW49" s="562">
        <f t="shared" si="65"/>
        <v>0</v>
      </c>
    </row>
    <row r="50" spans="1:49" s="367" customFormat="1" ht="12.75" customHeight="1" hidden="1">
      <c r="A50" s="361"/>
      <c r="B50" s="742">
        <v>6050</v>
      </c>
      <c r="C50" s="556" t="s">
        <v>627</v>
      </c>
      <c r="D50" s="557" t="s">
        <v>628</v>
      </c>
      <c r="E50" s="558">
        <f t="shared" si="3"/>
        <v>0</v>
      </c>
      <c r="F50" s="559"/>
      <c r="G50" s="559"/>
      <c r="H50" s="561">
        <v>0</v>
      </c>
      <c r="I50" s="562">
        <v>0</v>
      </c>
      <c r="J50" s="563">
        <f t="shared" si="47"/>
        <v>0</v>
      </c>
      <c r="K50" s="564"/>
      <c r="L50" s="565"/>
      <c r="M50" s="566"/>
      <c r="N50" s="567"/>
      <c r="O50" s="558">
        <f t="shared" si="48"/>
        <v>0</v>
      </c>
      <c r="P50" s="559">
        <f t="shared" si="49"/>
        <v>0</v>
      </c>
      <c r="Q50" s="559">
        <f t="shared" si="49"/>
        <v>0</v>
      </c>
      <c r="R50" s="568">
        <f t="shared" si="50"/>
        <v>0</v>
      </c>
      <c r="S50" s="562">
        <f t="shared" si="50"/>
        <v>0</v>
      </c>
      <c r="T50" s="563">
        <f t="shared" si="44"/>
        <v>0</v>
      </c>
      <c r="U50" s="564"/>
      <c r="V50" s="565"/>
      <c r="W50" s="566"/>
      <c r="X50" s="567"/>
      <c r="Y50" s="558">
        <f t="shared" si="51"/>
        <v>0</v>
      </c>
      <c r="Z50" s="559">
        <f t="shared" si="52"/>
        <v>0</v>
      </c>
      <c r="AA50" s="559">
        <f t="shared" si="53"/>
        <v>0</v>
      </c>
      <c r="AB50" s="568">
        <f t="shared" si="54"/>
        <v>0</v>
      </c>
      <c r="AC50" s="562">
        <f t="shared" si="55"/>
        <v>0</v>
      </c>
      <c r="AD50" s="563">
        <f t="shared" si="45"/>
        <v>0</v>
      </c>
      <c r="AE50" s="564"/>
      <c r="AF50" s="565"/>
      <c r="AG50" s="566"/>
      <c r="AH50" s="567"/>
      <c r="AI50" s="558">
        <f t="shared" si="56"/>
        <v>0</v>
      </c>
      <c r="AJ50" s="559">
        <f t="shared" si="57"/>
        <v>0</v>
      </c>
      <c r="AK50" s="559">
        <f t="shared" si="58"/>
        <v>0</v>
      </c>
      <c r="AL50" s="568">
        <f t="shared" si="59"/>
        <v>0</v>
      </c>
      <c r="AM50" s="562">
        <f t="shared" si="60"/>
        <v>0</v>
      </c>
      <c r="AN50" s="563">
        <f t="shared" si="46"/>
        <v>0</v>
      </c>
      <c r="AO50" s="564"/>
      <c r="AP50" s="565"/>
      <c r="AQ50" s="566"/>
      <c r="AR50" s="567"/>
      <c r="AS50" s="558">
        <f t="shared" si="61"/>
        <v>0</v>
      </c>
      <c r="AT50" s="559">
        <f t="shared" si="62"/>
        <v>0</v>
      </c>
      <c r="AU50" s="559">
        <f t="shared" si="63"/>
        <v>0</v>
      </c>
      <c r="AV50" s="568">
        <f t="shared" si="64"/>
        <v>0</v>
      </c>
      <c r="AW50" s="562">
        <f t="shared" si="65"/>
        <v>0</v>
      </c>
    </row>
    <row r="51" spans="1:49" s="362" customFormat="1" ht="12.75" customHeight="1" hidden="1">
      <c r="A51" s="361"/>
      <c r="B51" s="742">
        <v>6050</v>
      </c>
      <c r="C51" s="556" t="s">
        <v>629</v>
      </c>
      <c r="D51" s="557" t="s">
        <v>630</v>
      </c>
      <c r="E51" s="558">
        <f t="shared" si="3"/>
        <v>0</v>
      </c>
      <c r="F51" s="559"/>
      <c r="G51" s="559"/>
      <c r="H51" s="561">
        <v>0</v>
      </c>
      <c r="I51" s="562">
        <v>0</v>
      </c>
      <c r="J51" s="563">
        <f t="shared" si="47"/>
        <v>0</v>
      </c>
      <c r="K51" s="564"/>
      <c r="L51" s="565"/>
      <c r="M51" s="566"/>
      <c r="N51" s="567"/>
      <c r="O51" s="558">
        <f t="shared" si="48"/>
        <v>0</v>
      </c>
      <c r="P51" s="559">
        <f t="shared" si="49"/>
        <v>0</v>
      </c>
      <c r="Q51" s="559">
        <f t="shared" si="49"/>
        <v>0</v>
      </c>
      <c r="R51" s="568">
        <f t="shared" si="50"/>
        <v>0</v>
      </c>
      <c r="S51" s="562">
        <f t="shared" si="50"/>
        <v>0</v>
      </c>
      <c r="T51" s="563">
        <f t="shared" si="44"/>
        <v>0</v>
      </c>
      <c r="U51" s="564"/>
      <c r="V51" s="565"/>
      <c r="W51" s="566"/>
      <c r="X51" s="567"/>
      <c r="Y51" s="558">
        <f t="shared" si="51"/>
        <v>0</v>
      </c>
      <c r="Z51" s="559">
        <f t="shared" si="52"/>
        <v>0</v>
      </c>
      <c r="AA51" s="559">
        <f t="shared" si="53"/>
        <v>0</v>
      </c>
      <c r="AB51" s="568">
        <f t="shared" si="54"/>
        <v>0</v>
      </c>
      <c r="AC51" s="562">
        <f t="shared" si="55"/>
        <v>0</v>
      </c>
      <c r="AD51" s="563">
        <f t="shared" si="45"/>
        <v>0</v>
      </c>
      <c r="AE51" s="564"/>
      <c r="AF51" s="565"/>
      <c r="AG51" s="566"/>
      <c r="AH51" s="567"/>
      <c r="AI51" s="558">
        <f t="shared" si="56"/>
        <v>0</v>
      </c>
      <c r="AJ51" s="559">
        <f t="shared" si="57"/>
        <v>0</v>
      </c>
      <c r="AK51" s="559">
        <f t="shared" si="58"/>
        <v>0</v>
      </c>
      <c r="AL51" s="568">
        <f t="shared" si="59"/>
        <v>0</v>
      </c>
      <c r="AM51" s="562">
        <f t="shared" si="60"/>
        <v>0</v>
      </c>
      <c r="AN51" s="563">
        <f t="shared" si="46"/>
        <v>0</v>
      </c>
      <c r="AO51" s="564"/>
      <c r="AP51" s="565"/>
      <c r="AQ51" s="566"/>
      <c r="AR51" s="567"/>
      <c r="AS51" s="558">
        <f t="shared" si="61"/>
        <v>0</v>
      </c>
      <c r="AT51" s="559">
        <f t="shared" si="62"/>
        <v>0</v>
      </c>
      <c r="AU51" s="559">
        <f t="shared" si="63"/>
        <v>0</v>
      </c>
      <c r="AV51" s="568">
        <f t="shared" si="64"/>
        <v>0</v>
      </c>
      <c r="AW51" s="562">
        <f t="shared" si="65"/>
        <v>0</v>
      </c>
    </row>
    <row r="52" spans="1:49" s="362" customFormat="1" ht="13.5" customHeight="1" hidden="1">
      <c r="A52" s="361"/>
      <c r="B52" s="742">
        <v>6050</v>
      </c>
      <c r="C52" s="556" t="s">
        <v>631</v>
      </c>
      <c r="D52" s="557" t="s">
        <v>632</v>
      </c>
      <c r="E52" s="558">
        <f t="shared" si="3"/>
        <v>0</v>
      </c>
      <c r="F52" s="559"/>
      <c r="G52" s="559"/>
      <c r="H52" s="561">
        <v>0</v>
      </c>
      <c r="I52" s="562">
        <v>0</v>
      </c>
      <c r="J52" s="563">
        <f t="shared" si="47"/>
        <v>0</v>
      </c>
      <c r="K52" s="564"/>
      <c r="L52" s="565"/>
      <c r="M52" s="566"/>
      <c r="N52" s="567"/>
      <c r="O52" s="558">
        <f t="shared" si="48"/>
        <v>0</v>
      </c>
      <c r="P52" s="559">
        <f t="shared" si="49"/>
        <v>0</v>
      </c>
      <c r="Q52" s="559">
        <f t="shared" si="49"/>
        <v>0</v>
      </c>
      <c r="R52" s="568">
        <f t="shared" si="50"/>
        <v>0</v>
      </c>
      <c r="S52" s="562">
        <f t="shared" si="50"/>
        <v>0</v>
      </c>
      <c r="T52" s="563">
        <f t="shared" si="44"/>
        <v>0</v>
      </c>
      <c r="U52" s="564"/>
      <c r="V52" s="565"/>
      <c r="W52" s="566"/>
      <c r="X52" s="567"/>
      <c r="Y52" s="558">
        <f t="shared" si="51"/>
        <v>0</v>
      </c>
      <c r="Z52" s="559">
        <f t="shared" si="52"/>
        <v>0</v>
      </c>
      <c r="AA52" s="559">
        <f t="shared" si="53"/>
        <v>0</v>
      </c>
      <c r="AB52" s="568">
        <f t="shared" si="54"/>
        <v>0</v>
      </c>
      <c r="AC52" s="562">
        <f t="shared" si="55"/>
        <v>0</v>
      </c>
      <c r="AD52" s="563">
        <f t="shared" si="45"/>
        <v>0</v>
      </c>
      <c r="AE52" s="564"/>
      <c r="AF52" s="565"/>
      <c r="AG52" s="566"/>
      <c r="AH52" s="567"/>
      <c r="AI52" s="558">
        <f t="shared" si="56"/>
        <v>0</v>
      </c>
      <c r="AJ52" s="559">
        <f t="shared" si="57"/>
        <v>0</v>
      </c>
      <c r="AK52" s="559">
        <f t="shared" si="58"/>
        <v>0</v>
      </c>
      <c r="AL52" s="568">
        <f t="shared" si="59"/>
        <v>0</v>
      </c>
      <c r="AM52" s="562">
        <f t="shared" si="60"/>
        <v>0</v>
      </c>
      <c r="AN52" s="563">
        <f t="shared" si="46"/>
        <v>0</v>
      </c>
      <c r="AO52" s="564"/>
      <c r="AP52" s="565"/>
      <c r="AQ52" s="566"/>
      <c r="AR52" s="567"/>
      <c r="AS52" s="558">
        <f t="shared" si="61"/>
        <v>0</v>
      </c>
      <c r="AT52" s="559">
        <f t="shared" si="62"/>
        <v>0</v>
      </c>
      <c r="AU52" s="559">
        <f t="shared" si="63"/>
        <v>0</v>
      </c>
      <c r="AV52" s="568">
        <f t="shared" si="64"/>
        <v>0</v>
      </c>
      <c r="AW52" s="562">
        <f t="shared" si="65"/>
        <v>0</v>
      </c>
    </row>
    <row r="53" spans="1:49" s="367" customFormat="1" ht="12.75" customHeight="1" hidden="1">
      <c r="A53" s="361"/>
      <c r="B53" s="742">
        <v>6050</v>
      </c>
      <c r="C53" s="556" t="s">
        <v>635</v>
      </c>
      <c r="D53" s="557" t="s">
        <v>636</v>
      </c>
      <c r="E53" s="558">
        <f t="shared" si="3"/>
        <v>0</v>
      </c>
      <c r="F53" s="559"/>
      <c r="G53" s="559"/>
      <c r="H53" s="561">
        <v>0</v>
      </c>
      <c r="I53" s="562">
        <v>0</v>
      </c>
      <c r="J53" s="563">
        <f t="shared" si="47"/>
        <v>0</v>
      </c>
      <c r="K53" s="564"/>
      <c r="L53" s="565"/>
      <c r="M53" s="566"/>
      <c r="N53" s="567"/>
      <c r="O53" s="558">
        <f t="shared" si="48"/>
        <v>0</v>
      </c>
      <c r="P53" s="559">
        <f t="shared" si="49"/>
        <v>0</v>
      </c>
      <c r="Q53" s="559">
        <f t="shared" si="49"/>
        <v>0</v>
      </c>
      <c r="R53" s="568">
        <f t="shared" si="50"/>
        <v>0</v>
      </c>
      <c r="S53" s="562">
        <f t="shared" si="50"/>
        <v>0</v>
      </c>
      <c r="T53" s="563">
        <f t="shared" si="44"/>
        <v>0</v>
      </c>
      <c r="U53" s="564"/>
      <c r="V53" s="565"/>
      <c r="W53" s="566"/>
      <c r="X53" s="567"/>
      <c r="Y53" s="558">
        <f t="shared" si="51"/>
        <v>0</v>
      </c>
      <c r="Z53" s="559">
        <f t="shared" si="52"/>
        <v>0</v>
      </c>
      <c r="AA53" s="559">
        <f t="shared" si="53"/>
        <v>0</v>
      </c>
      <c r="AB53" s="568">
        <f t="shared" si="54"/>
        <v>0</v>
      </c>
      <c r="AC53" s="562">
        <f t="shared" si="55"/>
        <v>0</v>
      </c>
      <c r="AD53" s="563">
        <f t="shared" si="45"/>
        <v>0</v>
      </c>
      <c r="AE53" s="564"/>
      <c r="AF53" s="565"/>
      <c r="AG53" s="566"/>
      <c r="AH53" s="567"/>
      <c r="AI53" s="558">
        <f t="shared" si="56"/>
        <v>0</v>
      </c>
      <c r="AJ53" s="559">
        <f t="shared" si="57"/>
        <v>0</v>
      </c>
      <c r="AK53" s="559">
        <f t="shared" si="58"/>
        <v>0</v>
      </c>
      <c r="AL53" s="568">
        <f t="shared" si="59"/>
        <v>0</v>
      </c>
      <c r="AM53" s="562">
        <f t="shared" si="60"/>
        <v>0</v>
      </c>
      <c r="AN53" s="563">
        <f t="shared" si="46"/>
        <v>0</v>
      </c>
      <c r="AO53" s="564"/>
      <c r="AP53" s="565"/>
      <c r="AQ53" s="566"/>
      <c r="AR53" s="567"/>
      <c r="AS53" s="558">
        <f t="shared" si="61"/>
        <v>0</v>
      </c>
      <c r="AT53" s="559">
        <f t="shared" si="62"/>
        <v>0</v>
      </c>
      <c r="AU53" s="559">
        <f t="shared" si="63"/>
        <v>0</v>
      </c>
      <c r="AV53" s="568">
        <f t="shared" si="64"/>
        <v>0</v>
      </c>
      <c r="AW53" s="562">
        <f t="shared" si="65"/>
        <v>0</v>
      </c>
    </row>
    <row r="54" spans="1:49" s="367" customFormat="1" ht="12.75" customHeight="1" hidden="1">
      <c r="A54" s="361"/>
      <c r="B54" s="743">
        <v>6050</v>
      </c>
      <c r="C54" s="570" t="s">
        <v>637</v>
      </c>
      <c r="D54" s="571" t="s">
        <v>638</v>
      </c>
      <c r="E54" s="558">
        <f t="shared" si="3"/>
        <v>0</v>
      </c>
      <c r="F54" s="572"/>
      <c r="G54" s="572"/>
      <c r="H54" s="573">
        <v>0</v>
      </c>
      <c r="I54" s="562">
        <v>0</v>
      </c>
      <c r="J54" s="563">
        <f t="shared" si="47"/>
        <v>0</v>
      </c>
      <c r="K54" s="574"/>
      <c r="L54" s="575"/>
      <c r="M54" s="576"/>
      <c r="N54" s="567"/>
      <c r="O54" s="558">
        <f t="shared" si="48"/>
        <v>0</v>
      </c>
      <c r="P54" s="559">
        <f t="shared" si="49"/>
        <v>0</v>
      </c>
      <c r="Q54" s="559">
        <f t="shared" si="49"/>
        <v>0</v>
      </c>
      <c r="R54" s="568">
        <f t="shared" si="50"/>
        <v>0</v>
      </c>
      <c r="S54" s="562">
        <f t="shared" si="50"/>
        <v>0</v>
      </c>
      <c r="T54" s="563">
        <f t="shared" si="44"/>
        <v>0</v>
      </c>
      <c r="U54" s="574"/>
      <c r="V54" s="575"/>
      <c r="W54" s="576"/>
      <c r="X54" s="567"/>
      <c r="Y54" s="558">
        <f t="shared" si="51"/>
        <v>0</v>
      </c>
      <c r="Z54" s="559">
        <f t="shared" si="52"/>
        <v>0</v>
      </c>
      <c r="AA54" s="559">
        <f t="shared" si="53"/>
        <v>0</v>
      </c>
      <c r="AB54" s="568">
        <f t="shared" si="54"/>
        <v>0</v>
      </c>
      <c r="AC54" s="562">
        <f t="shared" si="55"/>
        <v>0</v>
      </c>
      <c r="AD54" s="563">
        <f t="shared" si="45"/>
        <v>0</v>
      </c>
      <c r="AE54" s="574"/>
      <c r="AF54" s="575"/>
      <c r="AG54" s="576"/>
      <c r="AH54" s="567"/>
      <c r="AI54" s="558">
        <f t="shared" si="56"/>
        <v>0</v>
      </c>
      <c r="AJ54" s="559">
        <f t="shared" si="57"/>
        <v>0</v>
      </c>
      <c r="AK54" s="559">
        <f t="shared" si="58"/>
        <v>0</v>
      </c>
      <c r="AL54" s="568">
        <f t="shared" si="59"/>
        <v>0</v>
      </c>
      <c r="AM54" s="562">
        <f t="shared" si="60"/>
        <v>0</v>
      </c>
      <c r="AN54" s="563">
        <f t="shared" si="46"/>
        <v>0</v>
      </c>
      <c r="AO54" s="574"/>
      <c r="AP54" s="575"/>
      <c r="AQ54" s="576"/>
      <c r="AR54" s="567"/>
      <c r="AS54" s="558">
        <f t="shared" si="61"/>
        <v>0</v>
      </c>
      <c r="AT54" s="559">
        <f t="shared" si="62"/>
        <v>0</v>
      </c>
      <c r="AU54" s="559">
        <f t="shared" si="63"/>
        <v>0</v>
      </c>
      <c r="AV54" s="568">
        <f t="shared" si="64"/>
        <v>0</v>
      </c>
      <c r="AW54" s="562">
        <f t="shared" si="65"/>
        <v>0</v>
      </c>
    </row>
    <row r="55" spans="1:49" s="362" customFormat="1" ht="14.25" customHeight="1">
      <c r="A55" s="361"/>
      <c r="B55" s="523">
        <v>801</v>
      </c>
      <c r="C55" s="446"/>
      <c r="D55" s="447" t="s">
        <v>259</v>
      </c>
      <c r="E55" s="448">
        <f t="shared" si="3"/>
        <v>0</v>
      </c>
      <c r="F55" s="448">
        <f>F56+F58+F60</f>
        <v>0</v>
      </c>
      <c r="G55" s="448">
        <f>G56+G58+G60</f>
        <v>0</v>
      </c>
      <c r="H55" s="448">
        <f>H56+H58+H60</f>
        <v>0</v>
      </c>
      <c r="I55" s="450">
        <f>I56+I58+I60</f>
        <v>0</v>
      </c>
      <c r="J55" s="524">
        <f t="shared" si="47"/>
        <v>0</v>
      </c>
      <c r="K55" s="452">
        <f>K56+K58+K60</f>
        <v>0</v>
      </c>
      <c r="L55" s="452">
        <f>L56+L58+L60</f>
        <v>0</v>
      </c>
      <c r="M55" s="525">
        <f>M56+M58+M60</f>
        <v>0</v>
      </c>
      <c r="N55" s="454">
        <f>N56+N58+N60</f>
        <v>0</v>
      </c>
      <c r="O55" s="448">
        <f t="shared" si="48"/>
        <v>0</v>
      </c>
      <c r="P55" s="692">
        <f>P56+P58+P60</f>
        <v>0</v>
      </c>
      <c r="Q55" s="448">
        <f>Q56+Q58+Q60</f>
        <v>0</v>
      </c>
      <c r="R55" s="704">
        <f>R56+R58+R60</f>
        <v>0</v>
      </c>
      <c r="S55" s="450">
        <f>S56+S58+S60</f>
        <v>0</v>
      </c>
      <c r="T55" s="524">
        <f t="shared" si="44"/>
        <v>0</v>
      </c>
      <c r="U55" s="452">
        <f>U56+U58+U60</f>
        <v>0</v>
      </c>
      <c r="V55" s="452">
        <f>V56+V58+V60</f>
        <v>0</v>
      </c>
      <c r="W55" s="525">
        <f>W56+W58+W60</f>
        <v>0</v>
      </c>
      <c r="X55" s="454">
        <f>X56+X58+X60</f>
        <v>0</v>
      </c>
      <c r="Y55" s="455">
        <f t="shared" si="51"/>
        <v>0</v>
      </c>
      <c r="Z55" s="455">
        <f>Z56+Z58+Z60</f>
        <v>0</v>
      </c>
      <c r="AA55" s="455">
        <f>AA56+AA58+AA60</f>
        <v>0</v>
      </c>
      <c r="AB55" s="526">
        <f>AB56+AB58+AB60</f>
        <v>0</v>
      </c>
      <c r="AC55" s="456">
        <f>AC56+AC58+AC60</f>
        <v>0</v>
      </c>
      <c r="AD55" s="524">
        <f>SUM(AE55:AH55)</f>
        <v>70000000</v>
      </c>
      <c r="AE55" s="452">
        <f>AE56+AE58+AE60</f>
        <v>0</v>
      </c>
      <c r="AF55" s="452">
        <f>AF56+AF58+AF60</f>
        <v>0</v>
      </c>
      <c r="AG55" s="525">
        <f>AG56+AG58+AG60</f>
        <v>24364800</v>
      </c>
      <c r="AH55" s="454">
        <f>AH56+AH58+AH60</f>
        <v>45635200</v>
      </c>
      <c r="AI55" s="455">
        <f>SUM(AJ55:AM55)</f>
        <v>70000000</v>
      </c>
      <c r="AJ55" s="731">
        <f>AJ56+AJ58+AJ60</f>
        <v>0</v>
      </c>
      <c r="AK55" s="730">
        <f>AK56+AK58+AK60</f>
        <v>0</v>
      </c>
      <c r="AL55" s="526">
        <f>AL56+AL58+AL60</f>
        <v>24364800</v>
      </c>
      <c r="AM55" s="741">
        <f>AM56+AM58+AM60</f>
        <v>45635200</v>
      </c>
      <c r="AN55" s="524">
        <f>SUM(AO55:AR55)</f>
        <v>0</v>
      </c>
      <c r="AO55" s="452">
        <f>AO56+AO58+AO60</f>
        <v>0</v>
      </c>
      <c r="AP55" s="452">
        <f>AP56+AP58+AP60</f>
        <v>0</v>
      </c>
      <c r="AQ55" s="525">
        <f>AQ56+AQ58+AQ60</f>
        <v>0</v>
      </c>
      <c r="AR55" s="454">
        <f>AR56+AR58+AR60</f>
        <v>0</v>
      </c>
      <c r="AS55" s="455">
        <f>SUM(AT55:AW55)</f>
        <v>70000000</v>
      </c>
      <c r="AT55" s="731">
        <f>AT56+AT58+AT60</f>
        <v>0</v>
      </c>
      <c r="AU55" s="730">
        <f>AU56+AU58+AU60</f>
        <v>0</v>
      </c>
      <c r="AV55" s="526">
        <f>AV56+AV58+AV60</f>
        <v>24364800</v>
      </c>
      <c r="AW55" s="741">
        <f>AW56+AW58+AW60</f>
        <v>45635200</v>
      </c>
    </row>
    <row r="56" spans="1:49" s="360" customFormat="1" ht="18" customHeight="1">
      <c r="A56" s="350"/>
      <c r="B56" s="744">
        <v>80101</v>
      </c>
      <c r="C56" s="499"/>
      <c r="D56" s="582" t="s">
        <v>260</v>
      </c>
      <c r="E56" s="583">
        <f t="shared" si="3"/>
        <v>0</v>
      </c>
      <c r="F56" s="584">
        <f>SUM(F57:F57)</f>
        <v>0</v>
      </c>
      <c r="G56" s="584">
        <f>SUM(G57:G57)</f>
        <v>0</v>
      </c>
      <c r="H56" s="585">
        <f>SUM(H57:H57)</f>
        <v>0</v>
      </c>
      <c r="I56" s="586">
        <f>SUM(I57:I57)</f>
        <v>0</v>
      </c>
      <c r="J56" s="587">
        <f t="shared" si="47"/>
        <v>0</v>
      </c>
      <c r="K56" s="588">
        <f>SUM(K57:K57)</f>
        <v>0</v>
      </c>
      <c r="L56" s="588">
        <f>SUM(L57:L57)</f>
        <v>0</v>
      </c>
      <c r="M56" s="589">
        <f>SUM(M57:M57)</f>
        <v>0</v>
      </c>
      <c r="N56" s="590">
        <f>SUM(N57:N57)</f>
        <v>0</v>
      </c>
      <c r="O56" s="583">
        <f t="shared" si="48"/>
        <v>0</v>
      </c>
      <c r="P56" s="584">
        <f>SUM(P57:P57)</f>
        <v>0</v>
      </c>
      <c r="Q56" s="584">
        <f>SUM(Q57:Q57)</f>
        <v>0</v>
      </c>
      <c r="R56" s="585">
        <f>SUM(R57:R57)</f>
        <v>0</v>
      </c>
      <c r="S56" s="586">
        <f>SUM(S57:S57)</f>
        <v>0</v>
      </c>
      <c r="T56" s="587">
        <f t="shared" si="44"/>
        <v>0</v>
      </c>
      <c r="U56" s="588">
        <f>SUM(U57:U57)</f>
        <v>0</v>
      </c>
      <c r="V56" s="588">
        <f>SUM(V57:V57)</f>
        <v>0</v>
      </c>
      <c r="W56" s="589">
        <f>SUM(W57:W57)</f>
        <v>0</v>
      </c>
      <c r="X56" s="590">
        <f>SUM(X57:X57)</f>
        <v>0</v>
      </c>
      <c r="Y56" s="583">
        <f t="shared" si="51"/>
        <v>0</v>
      </c>
      <c r="Z56" s="584">
        <f>SUM(Z57:Z57)</f>
        <v>0</v>
      </c>
      <c r="AA56" s="584">
        <f>SUM(AA57:AA57)</f>
        <v>0</v>
      </c>
      <c r="AB56" s="585">
        <f>SUM(AB57:AB57)</f>
        <v>0</v>
      </c>
      <c r="AC56" s="586">
        <f>SUM(AC57:AC57)</f>
        <v>0</v>
      </c>
      <c r="AD56" s="587">
        <f>SUM(AE56:AH56)</f>
        <v>65000000</v>
      </c>
      <c r="AE56" s="588">
        <f>SUM(AE57:AE57)</f>
        <v>0</v>
      </c>
      <c r="AF56" s="588">
        <f>SUM(AF57:AF57)</f>
        <v>0</v>
      </c>
      <c r="AG56" s="589">
        <f>SUM(AG57:AG57)</f>
        <v>19364800</v>
      </c>
      <c r="AH56" s="649">
        <f>SUM(AH57:AH57)</f>
        <v>45635200</v>
      </c>
      <c r="AI56" s="601">
        <f>SUM(AJ56:AM56)</f>
        <v>65000000</v>
      </c>
      <c r="AJ56" s="584">
        <f>SUM(AJ57:AJ57)</f>
        <v>0</v>
      </c>
      <c r="AK56" s="584">
        <f>SUM(AK57:AK57)</f>
        <v>0</v>
      </c>
      <c r="AL56" s="585">
        <f>SUM(AL57:AL57)</f>
        <v>19364800</v>
      </c>
      <c r="AM56" s="586">
        <f>SUM(AM57:AM57)</f>
        <v>45635200</v>
      </c>
      <c r="AN56" s="587">
        <f>SUM(AO56:AR56)</f>
        <v>0</v>
      </c>
      <c r="AO56" s="588">
        <f>SUM(AO57:AO57)</f>
        <v>0</v>
      </c>
      <c r="AP56" s="588">
        <f>SUM(AP57:AP57)</f>
        <v>0</v>
      </c>
      <c r="AQ56" s="589">
        <f>SUM(AQ57:AQ57)</f>
        <v>0</v>
      </c>
      <c r="AR56" s="649">
        <f>SUM(AR57:AR57)</f>
        <v>0</v>
      </c>
      <c r="AS56" s="601">
        <f>SUM(AT56:AW56)</f>
        <v>65000000</v>
      </c>
      <c r="AT56" s="584">
        <f>SUM(AT57:AT57)</f>
        <v>0</v>
      </c>
      <c r="AU56" s="584">
        <f>SUM(AU57:AU57)</f>
        <v>0</v>
      </c>
      <c r="AV56" s="585">
        <f>SUM(AV57:AV57)</f>
        <v>19364800</v>
      </c>
      <c r="AW56" s="586">
        <f>SUM(AW57:AW57)</f>
        <v>45635200</v>
      </c>
    </row>
    <row r="57" spans="1:49" s="367" customFormat="1" ht="25.5" customHeight="1">
      <c r="A57" s="361"/>
      <c r="B57" s="742">
        <v>6050</v>
      </c>
      <c r="C57" s="469" t="s">
        <v>680</v>
      </c>
      <c r="D57" s="591" t="s">
        <v>681</v>
      </c>
      <c r="E57" s="558">
        <f t="shared" si="3"/>
        <v>0</v>
      </c>
      <c r="F57" s="559"/>
      <c r="G57" s="559"/>
      <c r="H57" s="561"/>
      <c r="I57" s="562"/>
      <c r="J57" s="563">
        <f t="shared" si="47"/>
        <v>0</v>
      </c>
      <c r="K57" s="564"/>
      <c r="L57" s="565"/>
      <c r="M57" s="566"/>
      <c r="N57" s="567"/>
      <c r="O57" s="558">
        <f t="shared" si="48"/>
        <v>0</v>
      </c>
      <c r="P57" s="559">
        <f>F57+K57</f>
        <v>0</v>
      </c>
      <c r="Q57" s="559">
        <f>G57+L57</f>
        <v>0</v>
      </c>
      <c r="R57" s="568">
        <f>H57+M57</f>
        <v>0</v>
      </c>
      <c r="S57" s="562">
        <f>I57+N57</f>
        <v>0</v>
      </c>
      <c r="T57" s="563">
        <f t="shared" si="44"/>
        <v>0</v>
      </c>
      <c r="U57" s="564"/>
      <c r="V57" s="565"/>
      <c r="W57" s="566"/>
      <c r="X57" s="567"/>
      <c r="Y57" s="558">
        <f t="shared" si="51"/>
        <v>0</v>
      </c>
      <c r="Z57" s="559">
        <f>P57+U57</f>
        <v>0</v>
      </c>
      <c r="AA57" s="559">
        <f>Q57+V57</f>
        <v>0</v>
      </c>
      <c r="AB57" s="568">
        <f>R57+W57</f>
        <v>0</v>
      </c>
      <c r="AC57" s="562">
        <f>S57+X57</f>
        <v>0</v>
      </c>
      <c r="AD57" s="563">
        <f t="shared" si="45"/>
        <v>19364800</v>
      </c>
      <c r="AE57" s="564"/>
      <c r="AF57" s="565"/>
      <c r="AG57" s="566">
        <f>19364800</f>
        <v>19364800</v>
      </c>
      <c r="AH57" s="732">
        <f>45635200</f>
        <v>45635200</v>
      </c>
      <c r="AI57" s="559">
        <f>SUM(AJ57:AM57)</f>
        <v>65000000</v>
      </c>
      <c r="AJ57" s="559">
        <f>Z57+AE57</f>
        <v>0</v>
      </c>
      <c r="AK57" s="559">
        <f>AA57+AF57</f>
        <v>0</v>
      </c>
      <c r="AL57" s="568">
        <f>AB57+AG57</f>
        <v>19364800</v>
      </c>
      <c r="AM57" s="562">
        <f>AC57+AH57</f>
        <v>45635200</v>
      </c>
      <c r="AN57" s="563">
        <f>SUM(AO57:AQ57)</f>
        <v>0</v>
      </c>
      <c r="AO57" s="564"/>
      <c r="AP57" s="565"/>
      <c r="AQ57" s="566">
        <v>0</v>
      </c>
      <c r="AR57" s="732">
        <v>0</v>
      </c>
      <c r="AS57" s="559">
        <f>SUM(AT57:AW57)</f>
        <v>65000000</v>
      </c>
      <c r="AT57" s="559">
        <f>AJ57+AO57</f>
        <v>0</v>
      </c>
      <c r="AU57" s="559">
        <f>AK57+AP57</f>
        <v>0</v>
      </c>
      <c r="AV57" s="568">
        <f>AL57+AQ57</f>
        <v>19364800</v>
      </c>
      <c r="AW57" s="562">
        <f>AM57+AR57</f>
        <v>45635200</v>
      </c>
    </row>
    <row r="58" spans="1:49" s="360" customFormat="1" ht="38.25">
      <c r="A58" s="350"/>
      <c r="B58" s="744">
        <v>80150</v>
      </c>
      <c r="C58" s="499"/>
      <c r="D58" s="582" t="s">
        <v>679</v>
      </c>
      <c r="E58" s="583">
        <f t="shared" si="3"/>
        <v>0</v>
      </c>
      <c r="F58" s="584">
        <f>F59</f>
        <v>0</v>
      </c>
      <c r="G58" s="584">
        <f>G59</f>
        <v>0</v>
      </c>
      <c r="H58" s="585">
        <f>H59</f>
        <v>0</v>
      </c>
      <c r="I58" s="586">
        <f>I59</f>
        <v>0</v>
      </c>
      <c r="J58" s="587">
        <f t="shared" si="47"/>
        <v>0</v>
      </c>
      <c r="K58" s="588">
        <f>K59</f>
        <v>0</v>
      </c>
      <c r="L58" s="588">
        <f>L59</f>
        <v>0</v>
      </c>
      <c r="M58" s="589"/>
      <c r="N58" s="590"/>
      <c r="O58" s="583">
        <f t="shared" si="48"/>
        <v>0</v>
      </c>
      <c r="P58" s="584">
        <f>P59</f>
        <v>0</v>
      </c>
      <c r="Q58" s="584">
        <f>Q59</f>
        <v>0</v>
      </c>
      <c r="R58" s="585">
        <f>R59</f>
        <v>0</v>
      </c>
      <c r="S58" s="586">
        <f>S59</f>
        <v>0</v>
      </c>
      <c r="T58" s="587">
        <f t="shared" si="44"/>
        <v>0</v>
      </c>
      <c r="U58" s="588">
        <f>U59</f>
        <v>0</v>
      </c>
      <c r="V58" s="588">
        <f>V59</f>
        <v>0</v>
      </c>
      <c r="W58" s="589"/>
      <c r="X58" s="590"/>
      <c r="Y58" s="583">
        <f t="shared" si="51"/>
        <v>0</v>
      </c>
      <c r="Z58" s="584">
        <f>Z59</f>
        <v>0</v>
      </c>
      <c r="AA58" s="584">
        <f>AA59</f>
        <v>0</v>
      </c>
      <c r="AB58" s="585">
        <f>AB59</f>
        <v>0</v>
      </c>
      <c r="AC58" s="586">
        <f>AC59</f>
        <v>0</v>
      </c>
      <c r="AD58" s="587">
        <f>SUM(AE58:AH58)</f>
        <v>5000000</v>
      </c>
      <c r="AE58" s="588">
        <f>AE59</f>
        <v>0</v>
      </c>
      <c r="AF58" s="588">
        <f>AF59</f>
        <v>0</v>
      </c>
      <c r="AG58" s="589">
        <f>AG59</f>
        <v>5000000</v>
      </c>
      <c r="AH58" s="649">
        <f>AH59</f>
        <v>0</v>
      </c>
      <c r="AI58" s="601">
        <f>SUM(AJ58:AM58)</f>
        <v>5000000</v>
      </c>
      <c r="AJ58" s="584">
        <f>AJ59</f>
        <v>0</v>
      </c>
      <c r="AK58" s="584">
        <f>AK59</f>
        <v>0</v>
      </c>
      <c r="AL58" s="585">
        <f>AL59</f>
        <v>5000000</v>
      </c>
      <c r="AM58" s="586">
        <f>AM59</f>
        <v>0</v>
      </c>
      <c r="AN58" s="587">
        <f>SUM(AO58:AR58)</f>
        <v>0</v>
      </c>
      <c r="AO58" s="588">
        <f>AO59</f>
        <v>0</v>
      </c>
      <c r="AP58" s="588">
        <f>AP59</f>
        <v>0</v>
      </c>
      <c r="AQ58" s="589">
        <f>AQ59</f>
        <v>0</v>
      </c>
      <c r="AR58" s="649">
        <f>AR59</f>
        <v>0</v>
      </c>
      <c r="AS58" s="601">
        <f>SUM(AT58:AW58)</f>
        <v>5000000</v>
      </c>
      <c r="AT58" s="584">
        <f>AT59</f>
        <v>0</v>
      </c>
      <c r="AU58" s="584">
        <f>AU59</f>
        <v>0</v>
      </c>
      <c r="AV58" s="585">
        <f>AV59</f>
        <v>5000000</v>
      </c>
      <c r="AW58" s="586">
        <f>AW59</f>
        <v>0</v>
      </c>
    </row>
    <row r="59" spans="1:49" s="362" customFormat="1" ht="25.5" customHeight="1" thickBot="1">
      <c r="A59" s="361"/>
      <c r="B59" s="745">
        <v>6050</v>
      </c>
      <c r="C59" s="653" t="s">
        <v>682</v>
      </c>
      <c r="D59" s="746" t="s">
        <v>683</v>
      </c>
      <c r="E59" s="655">
        <f t="shared" si="3"/>
        <v>0</v>
      </c>
      <c r="F59" s="656">
        <v>0</v>
      </c>
      <c r="G59" s="656">
        <v>0</v>
      </c>
      <c r="H59" s="747">
        <v>0</v>
      </c>
      <c r="I59" s="658">
        <v>0</v>
      </c>
      <c r="J59" s="659">
        <f t="shared" si="47"/>
        <v>0</v>
      </c>
      <c r="K59" s="660">
        <v>0</v>
      </c>
      <c r="L59" s="660">
        <v>0</v>
      </c>
      <c r="M59" s="748"/>
      <c r="N59" s="662"/>
      <c r="O59" s="655">
        <f t="shared" si="48"/>
        <v>0</v>
      </c>
      <c r="P59" s="749">
        <f>F59+K59</f>
        <v>0</v>
      </c>
      <c r="Q59" s="749">
        <f>G59+L59</f>
        <v>0</v>
      </c>
      <c r="R59" s="750">
        <f>H59+M59</f>
        <v>0</v>
      </c>
      <c r="S59" s="658">
        <f>I59+N59</f>
        <v>0</v>
      </c>
      <c r="T59" s="659">
        <f t="shared" si="44"/>
        <v>0</v>
      </c>
      <c r="U59" s="660">
        <v>0</v>
      </c>
      <c r="V59" s="660">
        <v>0</v>
      </c>
      <c r="W59" s="748"/>
      <c r="X59" s="662"/>
      <c r="Y59" s="655">
        <f t="shared" si="51"/>
        <v>0</v>
      </c>
      <c r="Z59" s="749">
        <f>P59+U59</f>
        <v>0</v>
      </c>
      <c r="AA59" s="749">
        <f>Q59+V59</f>
        <v>0</v>
      </c>
      <c r="AB59" s="750">
        <f>R59+W59</f>
        <v>0</v>
      </c>
      <c r="AC59" s="658">
        <f>S59+X59</f>
        <v>0</v>
      </c>
      <c r="AD59" s="659">
        <f>SUM(AE59:AH59)</f>
        <v>5000000</v>
      </c>
      <c r="AE59" s="660">
        <v>0</v>
      </c>
      <c r="AF59" s="660">
        <v>0</v>
      </c>
      <c r="AG59" s="748">
        <f>5000000</f>
        <v>5000000</v>
      </c>
      <c r="AH59" s="661">
        <v>0</v>
      </c>
      <c r="AI59" s="663">
        <f>SUM(AJ59:AM59)</f>
        <v>5000000</v>
      </c>
      <c r="AJ59" s="749">
        <f>Z59+AE59</f>
        <v>0</v>
      </c>
      <c r="AK59" s="749">
        <f>AA59+AF59</f>
        <v>0</v>
      </c>
      <c r="AL59" s="750">
        <f>AB59+AG59</f>
        <v>5000000</v>
      </c>
      <c r="AM59" s="658">
        <f>AC59+AH59</f>
        <v>0</v>
      </c>
      <c r="AN59" s="659">
        <f>SUM(AO59:AR59)</f>
        <v>0</v>
      </c>
      <c r="AO59" s="660">
        <v>0</v>
      </c>
      <c r="AP59" s="660">
        <v>0</v>
      </c>
      <c r="AQ59" s="748">
        <v>0</v>
      </c>
      <c r="AR59" s="661">
        <v>0</v>
      </c>
      <c r="AS59" s="663">
        <f>SUM(AT59:AW59)</f>
        <v>5000000</v>
      </c>
      <c r="AT59" s="749">
        <f>AJ59+AO59</f>
        <v>0</v>
      </c>
      <c r="AU59" s="749">
        <f>AK59+AP59</f>
        <v>0</v>
      </c>
      <c r="AV59" s="750">
        <f>AL59+AQ59</f>
        <v>5000000</v>
      </c>
      <c r="AW59" s="658">
        <f>AM59+AR59</f>
        <v>0</v>
      </c>
    </row>
    <row r="60" spans="1:49" s="360" customFormat="1" ht="21.75" customHeight="1" hidden="1">
      <c r="A60" s="350"/>
      <c r="B60" s="733">
        <v>80195</v>
      </c>
      <c r="C60" s="528"/>
      <c r="D60" s="734" t="s">
        <v>153</v>
      </c>
      <c r="E60" s="735">
        <f t="shared" si="3"/>
        <v>0</v>
      </c>
      <c r="F60" s="736">
        <f>F61</f>
        <v>0</v>
      </c>
      <c r="G60" s="736">
        <f>G61</f>
        <v>0</v>
      </c>
      <c r="H60" s="737">
        <f>H61</f>
        <v>0</v>
      </c>
      <c r="I60" s="738">
        <f>I61</f>
        <v>0</v>
      </c>
      <c r="J60" s="739">
        <f t="shared" si="47"/>
        <v>0</v>
      </c>
      <c r="K60" s="740"/>
      <c r="L60" s="552"/>
      <c r="M60" s="553"/>
      <c r="N60" s="554"/>
      <c r="O60" s="735">
        <f t="shared" si="48"/>
        <v>0</v>
      </c>
      <c r="P60" s="736">
        <f>P61</f>
        <v>0</v>
      </c>
      <c r="Q60" s="736">
        <f>Q61</f>
        <v>0</v>
      </c>
      <c r="R60" s="737">
        <f>R61</f>
        <v>0</v>
      </c>
      <c r="S60" s="738">
        <f>S61</f>
        <v>0</v>
      </c>
      <c r="T60" s="739">
        <f t="shared" si="44"/>
        <v>0</v>
      </c>
      <c r="U60" s="740"/>
      <c r="V60" s="552"/>
      <c r="W60" s="553"/>
      <c r="X60" s="554"/>
      <c r="Y60" s="735">
        <f t="shared" si="51"/>
        <v>0</v>
      </c>
      <c r="Z60" s="736">
        <f>Z61</f>
        <v>0</v>
      </c>
      <c r="AA60" s="736">
        <f>AA61</f>
        <v>0</v>
      </c>
      <c r="AB60" s="737">
        <f>AB61</f>
        <v>0</v>
      </c>
      <c r="AC60" s="738">
        <f>AC61</f>
        <v>0</v>
      </c>
      <c r="AD60" s="739">
        <f t="shared" si="45"/>
        <v>0</v>
      </c>
      <c r="AE60" s="740"/>
      <c r="AF60" s="552"/>
      <c r="AG60" s="553"/>
      <c r="AH60" s="554"/>
      <c r="AI60" s="735">
        <f t="shared" si="56"/>
        <v>0</v>
      </c>
      <c r="AJ60" s="736">
        <f>AJ61</f>
        <v>0</v>
      </c>
      <c r="AK60" s="736">
        <f>AK61</f>
        <v>0</v>
      </c>
      <c r="AL60" s="737">
        <f>AL61</f>
        <v>0</v>
      </c>
      <c r="AM60" s="738">
        <f>AM61</f>
        <v>0</v>
      </c>
      <c r="AN60" s="739">
        <f>SUM(AO60:AQ60)</f>
        <v>0</v>
      </c>
      <c r="AO60" s="740"/>
      <c r="AP60" s="552"/>
      <c r="AQ60" s="553"/>
      <c r="AR60" s="554"/>
      <c r="AS60" s="735">
        <f>SUM(AT60:AV60)</f>
        <v>0</v>
      </c>
      <c r="AT60" s="736">
        <f>AT61</f>
        <v>0</v>
      </c>
      <c r="AU60" s="736">
        <f>AU61</f>
        <v>0</v>
      </c>
      <c r="AV60" s="737">
        <f>AV61</f>
        <v>0</v>
      </c>
      <c r="AW60" s="738">
        <f>AW61</f>
        <v>0</v>
      </c>
    </row>
    <row r="61" spans="1:49" s="360" customFormat="1" ht="38.25" customHeight="1" hidden="1">
      <c r="A61" s="350"/>
      <c r="B61" s="581">
        <v>6580</v>
      </c>
      <c r="C61" s="499" t="s">
        <v>641</v>
      </c>
      <c r="D61" s="582" t="s">
        <v>657</v>
      </c>
      <c r="E61" s="583">
        <f t="shared" si="3"/>
        <v>0</v>
      </c>
      <c r="F61" s="601">
        <v>0</v>
      </c>
      <c r="G61" s="601">
        <v>0</v>
      </c>
      <c r="H61" s="602">
        <v>0</v>
      </c>
      <c r="I61" s="603">
        <v>0</v>
      </c>
      <c r="J61" s="587">
        <f t="shared" si="47"/>
        <v>0</v>
      </c>
      <c r="K61" s="604"/>
      <c r="L61" s="588"/>
      <c r="M61" s="589"/>
      <c r="N61" s="590"/>
      <c r="O61" s="583">
        <f t="shared" si="48"/>
        <v>0</v>
      </c>
      <c r="P61" s="601">
        <f>F61+K61</f>
        <v>0</v>
      </c>
      <c r="Q61" s="601">
        <f>G61+L61</f>
        <v>0</v>
      </c>
      <c r="R61" s="602">
        <f>H61+M61</f>
        <v>0</v>
      </c>
      <c r="S61" s="603">
        <f>I61+N61</f>
        <v>0</v>
      </c>
      <c r="T61" s="587">
        <f t="shared" si="44"/>
        <v>0</v>
      </c>
      <c r="U61" s="604"/>
      <c r="V61" s="588"/>
      <c r="W61" s="589"/>
      <c r="X61" s="590"/>
      <c r="Y61" s="583">
        <f t="shared" si="51"/>
        <v>0</v>
      </c>
      <c r="Z61" s="601">
        <f>P61+U61</f>
        <v>0</v>
      </c>
      <c r="AA61" s="601">
        <f>Q61+V61</f>
        <v>0</v>
      </c>
      <c r="AB61" s="602">
        <f>R61+W61</f>
        <v>0</v>
      </c>
      <c r="AC61" s="603">
        <f>S61+X61</f>
        <v>0</v>
      </c>
      <c r="AD61" s="587">
        <f t="shared" si="45"/>
        <v>0</v>
      </c>
      <c r="AE61" s="604"/>
      <c r="AF61" s="588"/>
      <c r="AG61" s="589"/>
      <c r="AH61" s="590"/>
      <c r="AI61" s="583">
        <f t="shared" si="56"/>
        <v>0</v>
      </c>
      <c r="AJ61" s="601">
        <f>Z61+AE61</f>
        <v>0</v>
      </c>
      <c r="AK61" s="601">
        <f>AA61+AF61</f>
        <v>0</v>
      </c>
      <c r="AL61" s="602">
        <f>AB61+AG61</f>
        <v>0</v>
      </c>
      <c r="AM61" s="603">
        <f>AC61+AH61</f>
        <v>0</v>
      </c>
      <c r="AN61" s="587">
        <f>SUM(AO61:AQ61)</f>
        <v>0</v>
      </c>
      <c r="AO61" s="604"/>
      <c r="AP61" s="588"/>
      <c r="AQ61" s="589"/>
      <c r="AR61" s="590"/>
      <c r="AS61" s="583">
        <f>SUM(AT61:AV61)</f>
        <v>0</v>
      </c>
      <c r="AT61" s="601">
        <f>AJ61+AO61</f>
        <v>0</v>
      </c>
      <c r="AU61" s="601">
        <f>AK61+AP61</f>
        <v>0</v>
      </c>
      <c r="AV61" s="602">
        <f>AL61+AQ61</f>
        <v>0</v>
      </c>
      <c r="AW61" s="603">
        <f>AM61+AR61</f>
        <v>0</v>
      </c>
    </row>
    <row r="62" spans="1:49" s="362" customFormat="1" ht="25.5" customHeight="1" hidden="1">
      <c r="A62" s="361"/>
      <c r="B62" s="605">
        <v>900</v>
      </c>
      <c r="C62" s="458"/>
      <c r="D62" s="578" t="s">
        <v>580</v>
      </c>
      <c r="E62" s="593">
        <f t="shared" si="3"/>
        <v>0</v>
      </c>
      <c r="F62" s="594"/>
      <c r="G62" s="594"/>
      <c r="H62" s="595"/>
      <c r="I62" s="596"/>
      <c r="J62" s="597"/>
      <c r="K62" s="598"/>
      <c r="L62" s="598"/>
      <c r="M62" s="599"/>
      <c r="N62" s="600"/>
      <c r="O62" s="593"/>
      <c r="P62" s="559"/>
      <c r="Q62" s="559"/>
      <c r="R62" s="568"/>
      <c r="S62" s="596"/>
      <c r="T62" s="597"/>
      <c r="U62" s="598"/>
      <c r="V62" s="598"/>
      <c r="W62" s="599"/>
      <c r="X62" s="600"/>
      <c r="Y62" s="593"/>
      <c r="Z62" s="559"/>
      <c r="AA62" s="559"/>
      <c r="AB62" s="568"/>
      <c r="AC62" s="596"/>
      <c r="AD62" s="597"/>
      <c r="AE62" s="598"/>
      <c r="AF62" s="598"/>
      <c r="AG62" s="599"/>
      <c r="AH62" s="600"/>
      <c r="AI62" s="593"/>
      <c r="AJ62" s="559"/>
      <c r="AK62" s="559"/>
      <c r="AL62" s="568"/>
      <c r="AM62" s="596"/>
      <c r="AN62" s="597"/>
      <c r="AO62" s="598"/>
      <c r="AP62" s="598"/>
      <c r="AQ62" s="599"/>
      <c r="AR62" s="600"/>
      <c r="AS62" s="593"/>
      <c r="AT62" s="559"/>
      <c r="AU62" s="559"/>
      <c r="AV62" s="568"/>
      <c r="AW62" s="596"/>
    </row>
    <row r="63" spans="1:49" s="362" customFormat="1" ht="12.75" customHeight="1" hidden="1">
      <c r="A63" s="361"/>
      <c r="B63" s="581" t="s">
        <v>659</v>
      </c>
      <c r="C63" s="458"/>
      <c r="D63" s="582" t="s">
        <v>343</v>
      </c>
      <c r="E63" s="593">
        <f t="shared" si="3"/>
        <v>0</v>
      </c>
      <c r="F63" s="594"/>
      <c r="G63" s="594"/>
      <c r="H63" s="595"/>
      <c r="I63" s="596"/>
      <c r="J63" s="597"/>
      <c r="K63" s="598"/>
      <c r="L63" s="598"/>
      <c r="M63" s="599"/>
      <c r="N63" s="600"/>
      <c r="O63" s="593"/>
      <c r="P63" s="559"/>
      <c r="Q63" s="559"/>
      <c r="R63" s="568"/>
      <c r="S63" s="596"/>
      <c r="T63" s="597"/>
      <c r="U63" s="598"/>
      <c r="V63" s="598"/>
      <c r="W63" s="599"/>
      <c r="X63" s="600"/>
      <c r="Y63" s="593"/>
      <c r="Z63" s="559"/>
      <c r="AA63" s="559"/>
      <c r="AB63" s="568"/>
      <c r="AC63" s="596"/>
      <c r="AD63" s="597"/>
      <c r="AE63" s="598"/>
      <c r="AF63" s="598"/>
      <c r="AG63" s="599"/>
      <c r="AH63" s="600"/>
      <c r="AI63" s="593"/>
      <c r="AJ63" s="559"/>
      <c r="AK63" s="559"/>
      <c r="AL63" s="568"/>
      <c r="AM63" s="596"/>
      <c r="AN63" s="597"/>
      <c r="AO63" s="598"/>
      <c r="AP63" s="598"/>
      <c r="AQ63" s="599"/>
      <c r="AR63" s="600"/>
      <c r="AS63" s="593"/>
      <c r="AT63" s="559"/>
      <c r="AU63" s="559"/>
      <c r="AV63" s="568"/>
      <c r="AW63" s="596"/>
    </row>
    <row r="64" spans="1:49" s="367" customFormat="1" ht="16.5" customHeight="1" hidden="1">
      <c r="A64" s="361"/>
      <c r="B64" s="555">
        <v>6050</v>
      </c>
      <c r="C64" s="606" t="s">
        <v>661</v>
      </c>
      <c r="D64" s="607" t="s">
        <v>660</v>
      </c>
      <c r="E64" s="558">
        <f t="shared" si="3"/>
        <v>0</v>
      </c>
      <c r="F64" s="559"/>
      <c r="G64" s="559"/>
      <c r="H64" s="561"/>
      <c r="I64" s="562"/>
      <c r="J64" s="563"/>
      <c r="K64" s="564"/>
      <c r="L64" s="565"/>
      <c r="M64" s="566"/>
      <c r="N64" s="567"/>
      <c r="O64" s="558"/>
      <c r="P64" s="559"/>
      <c r="Q64" s="559"/>
      <c r="R64" s="568"/>
      <c r="S64" s="562"/>
      <c r="T64" s="563"/>
      <c r="U64" s="564"/>
      <c r="V64" s="565"/>
      <c r="W64" s="566"/>
      <c r="X64" s="567"/>
      <c r="Y64" s="558"/>
      <c r="Z64" s="559"/>
      <c r="AA64" s="559"/>
      <c r="AB64" s="568"/>
      <c r="AC64" s="562"/>
      <c r="AD64" s="563"/>
      <c r="AE64" s="564"/>
      <c r="AF64" s="565"/>
      <c r="AG64" s="566"/>
      <c r="AH64" s="567"/>
      <c r="AI64" s="558"/>
      <c r="AJ64" s="559"/>
      <c r="AK64" s="559"/>
      <c r="AL64" s="568"/>
      <c r="AM64" s="562"/>
      <c r="AN64" s="563"/>
      <c r="AO64" s="564"/>
      <c r="AP64" s="565"/>
      <c r="AQ64" s="566"/>
      <c r="AR64" s="567"/>
      <c r="AS64" s="558"/>
      <c r="AT64" s="559"/>
      <c r="AU64" s="559"/>
      <c r="AV64" s="568"/>
      <c r="AW64" s="562"/>
    </row>
    <row r="65" spans="1:49" s="358" customFormat="1" ht="15" customHeight="1" hidden="1">
      <c r="A65" s="368"/>
      <c r="B65" s="608" t="s">
        <v>439</v>
      </c>
      <c r="C65" s="512"/>
      <c r="D65" s="609"/>
      <c r="E65" s="610">
        <f t="shared" si="3"/>
        <v>0</v>
      </c>
      <c r="F65" s="429">
        <f>F66+F71+F79+F82</f>
        <v>0</v>
      </c>
      <c r="G65" s="429">
        <f>G66+G71+G79+G82</f>
        <v>0</v>
      </c>
      <c r="H65" s="611">
        <f>H66+H71+H79+H82</f>
        <v>0</v>
      </c>
      <c r="I65" s="430">
        <f>I66+I71+I79+I82</f>
        <v>0</v>
      </c>
      <c r="J65" s="612">
        <f t="shared" si="47"/>
        <v>0</v>
      </c>
      <c r="K65" s="426">
        <f>K66+K71+K79+K82</f>
        <v>0</v>
      </c>
      <c r="L65" s="426">
        <f>L66+L71+L79+L82</f>
        <v>0</v>
      </c>
      <c r="M65" s="427">
        <f>M66+M71+M79+M82</f>
        <v>0</v>
      </c>
      <c r="N65" s="428">
        <f>N66+N71+N79+N82</f>
        <v>0</v>
      </c>
      <c r="O65" s="610">
        <f t="shared" si="48"/>
        <v>0</v>
      </c>
      <c r="P65" s="429">
        <f>P66+P71+P79+P82</f>
        <v>0</v>
      </c>
      <c r="Q65" s="429">
        <f>Q66+Q71+Q79+Q82</f>
        <v>0</v>
      </c>
      <c r="R65" s="611">
        <f>R66+R71+R79+R82</f>
        <v>0</v>
      </c>
      <c r="S65" s="430">
        <f>S66+S71+S79+S82</f>
        <v>0</v>
      </c>
      <c r="T65" s="612">
        <f aca="true" t="shared" si="66" ref="T65:T84">SUM(U65:W65)</f>
        <v>0</v>
      </c>
      <c r="U65" s="426">
        <f>U66+U71+U79+U82</f>
        <v>0</v>
      </c>
      <c r="V65" s="426">
        <f>V66+V71+V79+V82</f>
        <v>0</v>
      </c>
      <c r="W65" s="427">
        <f>W66+W71+W79+W82</f>
        <v>0</v>
      </c>
      <c r="X65" s="428">
        <f>X66+X71+X79+X82</f>
        <v>0</v>
      </c>
      <c r="Y65" s="610">
        <f aca="true" t="shared" si="67" ref="Y65:Y84">SUM(Z65:AB65)</f>
        <v>0</v>
      </c>
      <c r="Z65" s="429">
        <f>Z66+Z71+Z79+Z82</f>
        <v>0</v>
      </c>
      <c r="AA65" s="429">
        <f>AA66+AA71+AA79+AA82</f>
        <v>0</v>
      </c>
      <c r="AB65" s="611">
        <f>AB66+AB71+AB79+AB82</f>
        <v>0</v>
      </c>
      <c r="AC65" s="430">
        <f>AC66+AC71+AC79+AC82</f>
        <v>0</v>
      </c>
      <c r="AD65" s="612">
        <f aca="true" t="shared" si="68" ref="AD65:AD84">SUM(AE65:AG65)</f>
        <v>0</v>
      </c>
      <c r="AE65" s="426">
        <f>AE66+AE71+AE79+AE82</f>
        <v>0</v>
      </c>
      <c r="AF65" s="426">
        <f>AF66+AF71+AF79+AF82</f>
        <v>0</v>
      </c>
      <c r="AG65" s="427">
        <f>AG66+AG71+AG79+AG82</f>
        <v>0</v>
      </c>
      <c r="AH65" s="428">
        <f>AH66+AH71+AH79+AH82</f>
        <v>0</v>
      </c>
      <c r="AI65" s="610">
        <f aca="true" t="shared" si="69" ref="AI65:AI84">SUM(AJ65:AL65)</f>
        <v>0</v>
      </c>
      <c r="AJ65" s="429">
        <f>AJ66+AJ71+AJ79+AJ82</f>
        <v>0</v>
      </c>
      <c r="AK65" s="429">
        <f>AK66+AK71+AK79+AK82</f>
        <v>0</v>
      </c>
      <c r="AL65" s="611">
        <f>AL66+AL71+AL79+AL82</f>
        <v>0</v>
      </c>
      <c r="AM65" s="430">
        <f>AM66+AM71+AM79+AM82</f>
        <v>0</v>
      </c>
      <c r="AN65" s="612">
        <f aca="true" t="shared" si="70" ref="AN65:AN84">SUM(AO65:AQ65)</f>
        <v>0</v>
      </c>
      <c r="AO65" s="426">
        <f>AO66+AO71+AO79+AO82</f>
        <v>0</v>
      </c>
      <c r="AP65" s="426">
        <f>AP66+AP71+AP79+AP82</f>
        <v>0</v>
      </c>
      <c r="AQ65" s="427">
        <f>AQ66+AQ71+AQ79+AQ82</f>
        <v>0</v>
      </c>
      <c r="AR65" s="428">
        <f>AR66+AR71+AR79+AR82</f>
        <v>0</v>
      </c>
      <c r="AS65" s="610">
        <f aca="true" t="shared" si="71" ref="AS65:AS84">SUM(AT65:AV65)</f>
        <v>0</v>
      </c>
      <c r="AT65" s="429">
        <f>AT66+AT71+AT79+AT82</f>
        <v>0</v>
      </c>
      <c r="AU65" s="429">
        <f>AU66+AU71+AU79+AU82</f>
        <v>0</v>
      </c>
      <c r="AV65" s="611">
        <f>AV66+AV71+AV79+AV82</f>
        <v>0</v>
      </c>
      <c r="AW65" s="430">
        <f>AW66+AW71+AW79+AW82</f>
        <v>0</v>
      </c>
    </row>
    <row r="66" spans="1:49" s="362" customFormat="1" ht="12.75" customHeight="1" hidden="1">
      <c r="A66" s="361"/>
      <c r="B66" s="577">
        <v>600</v>
      </c>
      <c r="C66" s="446"/>
      <c r="D66" s="578" t="s">
        <v>31</v>
      </c>
      <c r="E66" s="579">
        <f t="shared" si="3"/>
        <v>0</v>
      </c>
      <c r="F66" s="455">
        <f>F67</f>
        <v>0</v>
      </c>
      <c r="G66" s="455">
        <f>G67</f>
        <v>0</v>
      </c>
      <c r="H66" s="526">
        <f>H67</f>
        <v>0</v>
      </c>
      <c r="I66" s="456">
        <f>I67</f>
        <v>0</v>
      </c>
      <c r="J66" s="580">
        <f t="shared" si="47"/>
        <v>0</v>
      </c>
      <c r="K66" s="452">
        <f>K67</f>
        <v>0</v>
      </c>
      <c r="L66" s="452">
        <f>L67</f>
        <v>0</v>
      </c>
      <c r="M66" s="525">
        <f>M67</f>
        <v>0</v>
      </c>
      <c r="N66" s="454">
        <f>N67</f>
        <v>0</v>
      </c>
      <c r="O66" s="579">
        <f t="shared" si="48"/>
        <v>0</v>
      </c>
      <c r="P66" s="455">
        <f>P67</f>
        <v>0</v>
      </c>
      <c r="Q66" s="455">
        <f>Q67</f>
        <v>0</v>
      </c>
      <c r="R66" s="526">
        <f>R67</f>
        <v>0</v>
      </c>
      <c r="S66" s="456">
        <f>S67</f>
        <v>0</v>
      </c>
      <c r="T66" s="580">
        <f t="shared" si="66"/>
        <v>0</v>
      </c>
      <c r="U66" s="452">
        <f>U67</f>
        <v>0</v>
      </c>
      <c r="V66" s="452">
        <f>V67</f>
        <v>0</v>
      </c>
      <c r="W66" s="525">
        <f>W67</f>
        <v>0</v>
      </c>
      <c r="X66" s="454">
        <f>X67</f>
        <v>0</v>
      </c>
      <c r="Y66" s="579">
        <f t="shared" si="67"/>
        <v>0</v>
      </c>
      <c r="Z66" s="455">
        <f>Z67</f>
        <v>0</v>
      </c>
      <c r="AA66" s="455">
        <f>AA67</f>
        <v>0</v>
      </c>
      <c r="AB66" s="526">
        <f>AB67</f>
        <v>0</v>
      </c>
      <c r="AC66" s="456">
        <f>AC67</f>
        <v>0</v>
      </c>
      <c r="AD66" s="580">
        <f t="shared" si="68"/>
        <v>0</v>
      </c>
      <c r="AE66" s="452">
        <f>AE67</f>
        <v>0</v>
      </c>
      <c r="AF66" s="452">
        <f>AF67</f>
        <v>0</v>
      </c>
      <c r="AG66" s="525">
        <f>AG67</f>
        <v>0</v>
      </c>
      <c r="AH66" s="454">
        <f>AH67</f>
        <v>0</v>
      </c>
      <c r="AI66" s="579">
        <f t="shared" si="69"/>
        <v>0</v>
      </c>
      <c r="AJ66" s="455">
        <f>AJ67</f>
        <v>0</v>
      </c>
      <c r="AK66" s="455">
        <f>AK67</f>
        <v>0</v>
      </c>
      <c r="AL66" s="526">
        <f>AL67</f>
        <v>0</v>
      </c>
      <c r="AM66" s="456">
        <f>AM67</f>
        <v>0</v>
      </c>
      <c r="AN66" s="580">
        <f t="shared" si="70"/>
        <v>0</v>
      </c>
      <c r="AO66" s="452">
        <f>AO67</f>
        <v>0</v>
      </c>
      <c r="AP66" s="452">
        <f>AP67</f>
        <v>0</v>
      </c>
      <c r="AQ66" s="525">
        <f>AQ67</f>
        <v>0</v>
      </c>
      <c r="AR66" s="454">
        <f>AR67</f>
        <v>0</v>
      </c>
      <c r="AS66" s="579">
        <f t="shared" si="71"/>
        <v>0</v>
      </c>
      <c r="AT66" s="455">
        <f>AT67</f>
        <v>0</v>
      </c>
      <c r="AU66" s="455">
        <f>AU67</f>
        <v>0</v>
      </c>
      <c r="AV66" s="526">
        <f>AV67</f>
        <v>0</v>
      </c>
      <c r="AW66" s="456">
        <f>AW67</f>
        <v>0</v>
      </c>
    </row>
    <row r="67" spans="1:49" s="360" customFormat="1" ht="18" customHeight="1" hidden="1">
      <c r="A67" s="350"/>
      <c r="B67" s="581">
        <v>60015</v>
      </c>
      <c r="C67" s="499"/>
      <c r="D67" s="582" t="s">
        <v>440</v>
      </c>
      <c r="E67" s="583">
        <f t="shared" si="3"/>
        <v>0</v>
      </c>
      <c r="F67" s="584">
        <f>SUM(F68:F70)</f>
        <v>0</v>
      </c>
      <c r="G67" s="584">
        <f>SUM(G68:G70)</f>
        <v>0</v>
      </c>
      <c r="H67" s="585">
        <f>SUM(H68:H70)</f>
        <v>0</v>
      </c>
      <c r="I67" s="586">
        <f>SUM(I68:I70)</f>
        <v>0</v>
      </c>
      <c r="J67" s="587">
        <f t="shared" si="47"/>
        <v>0</v>
      </c>
      <c r="K67" s="588">
        <f>SUM(K68:K70)</f>
        <v>0</v>
      </c>
      <c r="L67" s="588">
        <f>SUM(L68:L70)</f>
        <v>0</v>
      </c>
      <c r="M67" s="589">
        <f>SUM(M68:M70)</f>
        <v>0</v>
      </c>
      <c r="N67" s="590">
        <f>SUM(N68:N70)</f>
        <v>0</v>
      </c>
      <c r="O67" s="583">
        <f t="shared" si="48"/>
        <v>0</v>
      </c>
      <c r="P67" s="584">
        <f>SUM(P68:P70)</f>
        <v>0</v>
      </c>
      <c r="Q67" s="584">
        <f>SUM(Q68:Q70)</f>
        <v>0</v>
      </c>
      <c r="R67" s="585">
        <f>SUM(R68:R70)</f>
        <v>0</v>
      </c>
      <c r="S67" s="586">
        <f>SUM(S68:S70)</f>
        <v>0</v>
      </c>
      <c r="T67" s="587">
        <f t="shared" si="66"/>
        <v>0</v>
      </c>
      <c r="U67" s="588">
        <f>SUM(U68:U70)</f>
        <v>0</v>
      </c>
      <c r="V67" s="588">
        <f>SUM(V68:V70)</f>
        <v>0</v>
      </c>
      <c r="W67" s="589">
        <f>SUM(W68:W70)</f>
        <v>0</v>
      </c>
      <c r="X67" s="590">
        <f>SUM(X68:X70)</f>
        <v>0</v>
      </c>
      <c r="Y67" s="583">
        <f t="shared" si="67"/>
        <v>0</v>
      </c>
      <c r="Z67" s="584">
        <f>SUM(Z68:Z70)</f>
        <v>0</v>
      </c>
      <c r="AA67" s="584">
        <f>SUM(AA68:AA70)</f>
        <v>0</v>
      </c>
      <c r="AB67" s="585">
        <f>SUM(AB68:AB70)</f>
        <v>0</v>
      </c>
      <c r="AC67" s="586">
        <f>SUM(AC68:AC70)</f>
        <v>0</v>
      </c>
      <c r="AD67" s="587">
        <f t="shared" si="68"/>
        <v>0</v>
      </c>
      <c r="AE67" s="588">
        <f>SUM(AE68:AE70)</f>
        <v>0</v>
      </c>
      <c r="AF67" s="588">
        <f>SUM(AF68:AF70)</f>
        <v>0</v>
      </c>
      <c r="AG67" s="589">
        <f>SUM(AG68:AG70)</f>
        <v>0</v>
      </c>
      <c r="AH67" s="590">
        <f>SUM(AH68:AH70)</f>
        <v>0</v>
      </c>
      <c r="AI67" s="583">
        <f t="shared" si="69"/>
        <v>0</v>
      </c>
      <c r="AJ67" s="584">
        <f>SUM(AJ68:AJ70)</f>
        <v>0</v>
      </c>
      <c r="AK67" s="584">
        <f>SUM(AK68:AK70)</f>
        <v>0</v>
      </c>
      <c r="AL67" s="585">
        <f>SUM(AL68:AL70)</f>
        <v>0</v>
      </c>
      <c r="AM67" s="586">
        <f>SUM(AM68:AM70)</f>
        <v>0</v>
      </c>
      <c r="AN67" s="587">
        <f t="shared" si="70"/>
        <v>0</v>
      </c>
      <c r="AO67" s="588">
        <f>SUM(AO68:AO70)</f>
        <v>0</v>
      </c>
      <c r="AP67" s="588">
        <f>SUM(AP68:AP70)</f>
        <v>0</v>
      </c>
      <c r="AQ67" s="589">
        <f>SUM(AQ68:AQ70)</f>
        <v>0</v>
      </c>
      <c r="AR67" s="590">
        <f>SUM(AR68:AR70)</f>
        <v>0</v>
      </c>
      <c r="AS67" s="583">
        <f t="shared" si="71"/>
        <v>0</v>
      </c>
      <c r="AT67" s="584">
        <f>SUM(AT68:AT70)</f>
        <v>0</v>
      </c>
      <c r="AU67" s="584">
        <f>SUM(AU68:AU70)</f>
        <v>0</v>
      </c>
      <c r="AV67" s="585">
        <f>SUM(AV68:AV70)</f>
        <v>0</v>
      </c>
      <c r="AW67" s="586">
        <f>SUM(AW68:AW70)</f>
        <v>0</v>
      </c>
    </row>
    <row r="68" spans="1:49" s="367" customFormat="1" ht="25.5" customHeight="1" hidden="1">
      <c r="A68" s="361"/>
      <c r="B68" s="613">
        <v>6050</v>
      </c>
      <c r="C68" s="469" t="s">
        <v>563</v>
      </c>
      <c r="D68" s="591" t="s">
        <v>626</v>
      </c>
      <c r="E68" s="614">
        <f t="shared" si="3"/>
        <v>0</v>
      </c>
      <c r="F68" s="615"/>
      <c r="G68" s="615"/>
      <c r="H68" s="616"/>
      <c r="I68" s="617"/>
      <c r="J68" s="618">
        <f t="shared" si="47"/>
        <v>0</v>
      </c>
      <c r="K68" s="619"/>
      <c r="L68" s="620"/>
      <c r="M68" s="621">
        <f>4078944-4078944</f>
        <v>0</v>
      </c>
      <c r="N68" s="622">
        <f>4078944-4078944</f>
        <v>0</v>
      </c>
      <c r="O68" s="614">
        <f t="shared" si="48"/>
        <v>0</v>
      </c>
      <c r="P68" s="615">
        <f aca="true" t="shared" si="72" ref="P68:Q70">F68+K68</f>
        <v>0</v>
      </c>
      <c r="Q68" s="615">
        <f t="shared" si="72"/>
        <v>0</v>
      </c>
      <c r="R68" s="623">
        <f aca="true" t="shared" si="73" ref="R68:S70">H68+M68</f>
        <v>0</v>
      </c>
      <c r="S68" s="617">
        <f t="shared" si="73"/>
        <v>0</v>
      </c>
      <c r="T68" s="618">
        <f t="shared" si="66"/>
        <v>0</v>
      </c>
      <c r="U68" s="619"/>
      <c r="V68" s="620"/>
      <c r="W68" s="621">
        <f>4078944-4078944</f>
        <v>0</v>
      </c>
      <c r="X68" s="622">
        <f>4078944-4078944</f>
        <v>0</v>
      </c>
      <c r="Y68" s="614">
        <f t="shared" si="67"/>
        <v>0</v>
      </c>
      <c r="Z68" s="615">
        <f aca="true" t="shared" si="74" ref="Z68:AC70">P68+U68</f>
        <v>0</v>
      </c>
      <c r="AA68" s="615">
        <f t="shared" si="74"/>
        <v>0</v>
      </c>
      <c r="AB68" s="623">
        <f t="shared" si="74"/>
        <v>0</v>
      </c>
      <c r="AC68" s="617">
        <f t="shared" si="74"/>
        <v>0</v>
      </c>
      <c r="AD68" s="618">
        <f t="shared" si="68"/>
        <v>0</v>
      </c>
      <c r="AE68" s="619"/>
      <c r="AF68" s="620"/>
      <c r="AG68" s="621">
        <f>4078944-4078944</f>
        <v>0</v>
      </c>
      <c r="AH68" s="622">
        <f>4078944-4078944</f>
        <v>0</v>
      </c>
      <c r="AI68" s="614">
        <f t="shared" si="69"/>
        <v>0</v>
      </c>
      <c r="AJ68" s="615">
        <f aca="true" t="shared" si="75" ref="AJ68:AM70">Z68+AE68</f>
        <v>0</v>
      </c>
      <c r="AK68" s="615">
        <f t="shared" si="75"/>
        <v>0</v>
      </c>
      <c r="AL68" s="623">
        <f t="shared" si="75"/>
        <v>0</v>
      </c>
      <c r="AM68" s="617">
        <f t="shared" si="75"/>
        <v>0</v>
      </c>
      <c r="AN68" s="618">
        <f t="shared" si="70"/>
        <v>0</v>
      </c>
      <c r="AO68" s="619"/>
      <c r="AP68" s="620"/>
      <c r="AQ68" s="621">
        <f>4078944-4078944</f>
        <v>0</v>
      </c>
      <c r="AR68" s="622">
        <f>4078944-4078944</f>
        <v>0</v>
      </c>
      <c r="AS68" s="614">
        <f t="shared" si="71"/>
        <v>0</v>
      </c>
      <c r="AT68" s="615">
        <f aca="true" t="shared" si="76" ref="AT68:AW70">AJ68+AO68</f>
        <v>0</v>
      </c>
      <c r="AU68" s="615">
        <f t="shared" si="76"/>
        <v>0</v>
      </c>
      <c r="AV68" s="623">
        <f t="shared" si="76"/>
        <v>0</v>
      </c>
      <c r="AW68" s="617">
        <f t="shared" si="76"/>
        <v>0</v>
      </c>
    </row>
    <row r="69" spans="1:49" s="367" customFormat="1" ht="12.75" customHeight="1" hidden="1">
      <c r="A69" s="361"/>
      <c r="B69" s="555">
        <v>6050</v>
      </c>
      <c r="C69" s="556" t="s">
        <v>613</v>
      </c>
      <c r="D69" s="557" t="s">
        <v>625</v>
      </c>
      <c r="E69" s="558">
        <f t="shared" si="3"/>
        <v>0</v>
      </c>
      <c r="F69" s="559"/>
      <c r="G69" s="559"/>
      <c r="H69" s="561"/>
      <c r="I69" s="562"/>
      <c r="J69" s="563">
        <f t="shared" si="47"/>
        <v>0</v>
      </c>
      <c r="K69" s="564"/>
      <c r="L69" s="565"/>
      <c r="M69" s="566"/>
      <c r="N69" s="567"/>
      <c r="O69" s="558">
        <f t="shared" si="48"/>
        <v>0</v>
      </c>
      <c r="P69" s="559">
        <f t="shared" si="72"/>
        <v>0</v>
      </c>
      <c r="Q69" s="559">
        <f t="shared" si="72"/>
        <v>0</v>
      </c>
      <c r="R69" s="568">
        <f t="shared" si="73"/>
        <v>0</v>
      </c>
      <c r="S69" s="562">
        <f t="shared" si="73"/>
        <v>0</v>
      </c>
      <c r="T69" s="563">
        <f t="shared" si="66"/>
        <v>0</v>
      </c>
      <c r="U69" s="564"/>
      <c r="V69" s="565"/>
      <c r="W69" s="566"/>
      <c r="X69" s="567"/>
      <c r="Y69" s="558">
        <f t="shared" si="67"/>
        <v>0</v>
      </c>
      <c r="Z69" s="559">
        <f t="shared" si="74"/>
        <v>0</v>
      </c>
      <c r="AA69" s="559">
        <f t="shared" si="74"/>
        <v>0</v>
      </c>
      <c r="AB69" s="568">
        <f t="shared" si="74"/>
        <v>0</v>
      </c>
      <c r="AC69" s="562">
        <f t="shared" si="74"/>
        <v>0</v>
      </c>
      <c r="AD69" s="563">
        <f t="shared" si="68"/>
        <v>0</v>
      </c>
      <c r="AE69" s="564"/>
      <c r="AF69" s="565"/>
      <c r="AG69" s="566"/>
      <c r="AH69" s="567"/>
      <c r="AI69" s="558">
        <f t="shared" si="69"/>
        <v>0</v>
      </c>
      <c r="AJ69" s="559">
        <f t="shared" si="75"/>
        <v>0</v>
      </c>
      <c r="AK69" s="559">
        <f t="shared" si="75"/>
        <v>0</v>
      </c>
      <c r="AL69" s="568">
        <f t="shared" si="75"/>
        <v>0</v>
      </c>
      <c r="AM69" s="562">
        <f t="shared" si="75"/>
        <v>0</v>
      </c>
      <c r="AN69" s="563">
        <f t="shared" si="70"/>
        <v>0</v>
      </c>
      <c r="AO69" s="564"/>
      <c r="AP69" s="565"/>
      <c r="AQ69" s="566"/>
      <c r="AR69" s="567"/>
      <c r="AS69" s="558">
        <f t="shared" si="71"/>
        <v>0</v>
      </c>
      <c r="AT69" s="559">
        <f t="shared" si="76"/>
        <v>0</v>
      </c>
      <c r="AU69" s="559">
        <f t="shared" si="76"/>
        <v>0</v>
      </c>
      <c r="AV69" s="568">
        <f t="shared" si="76"/>
        <v>0</v>
      </c>
      <c r="AW69" s="562">
        <f t="shared" si="76"/>
        <v>0</v>
      </c>
    </row>
    <row r="70" spans="1:49" s="367" customFormat="1" ht="12.75" customHeight="1" hidden="1">
      <c r="A70" s="361"/>
      <c r="B70" s="569">
        <v>6050</v>
      </c>
      <c r="C70" s="570" t="s">
        <v>633</v>
      </c>
      <c r="D70" s="571" t="s">
        <v>634</v>
      </c>
      <c r="E70" s="624">
        <f t="shared" si="3"/>
        <v>0</v>
      </c>
      <c r="F70" s="572"/>
      <c r="G70" s="572"/>
      <c r="H70" s="573"/>
      <c r="I70" s="625"/>
      <c r="J70" s="626">
        <f t="shared" si="47"/>
        <v>0</v>
      </c>
      <c r="K70" s="574"/>
      <c r="L70" s="575"/>
      <c r="M70" s="576"/>
      <c r="N70" s="627"/>
      <c r="O70" s="624">
        <f t="shared" si="48"/>
        <v>0</v>
      </c>
      <c r="P70" s="572">
        <f t="shared" si="72"/>
        <v>0</v>
      </c>
      <c r="Q70" s="572">
        <f t="shared" si="72"/>
        <v>0</v>
      </c>
      <c r="R70" s="628">
        <f t="shared" si="73"/>
        <v>0</v>
      </c>
      <c r="S70" s="625">
        <f t="shared" si="73"/>
        <v>0</v>
      </c>
      <c r="T70" s="626">
        <f t="shared" si="66"/>
        <v>0</v>
      </c>
      <c r="U70" s="574"/>
      <c r="V70" s="575"/>
      <c r="W70" s="576"/>
      <c r="X70" s="627"/>
      <c r="Y70" s="624">
        <f t="shared" si="67"/>
        <v>0</v>
      </c>
      <c r="Z70" s="572">
        <f t="shared" si="74"/>
        <v>0</v>
      </c>
      <c r="AA70" s="572">
        <f t="shared" si="74"/>
        <v>0</v>
      </c>
      <c r="AB70" s="628">
        <f t="shared" si="74"/>
        <v>0</v>
      </c>
      <c r="AC70" s="625">
        <f t="shared" si="74"/>
        <v>0</v>
      </c>
      <c r="AD70" s="626">
        <f t="shared" si="68"/>
        <v>0</v>
      </c>
      <c r="AE70" s="574"/>
      <c r="AF70" s="575"/>
      <c r="AG70" s="576"/>
      <c r="AH70" s="627"/>
      <c r="AI70" s="624">
        <f t="shared" si="69"/>
        <v>0</v>
      </c>
      <c r="AJ70" s="572">
        <f t="shared" si="75"/>
        <v>0</v>
      </c>
      <c r="AK70" s="572">
        <f t="shared" si="75"/>
        <v>0</v>
      </c>
      <c r="AL70" s="628">
        <f t="shared" si="75"/>
        <v>0</v>
      </c>
      <c r="AM70" s="625">
        <f t="shared" si="75"/>
        <v>0</v>
      </c>
      <c r="AN70" s="626">
        <f t="shared" si="70"/>
        <v>0</v>
      </c>
      <c r="AO70" s="574"/>
      <c r="AP70" s="575"/>
      <c r="AQ70" s="576"/>
      <c r="AR70" s="627"/>
      <c r="AS70" s="624">
        <f t="shared" si="71"/>
        <v>0</v>
      </c>
      <c r="AT70" s="572">
        <f t="shared" si="76"/>
        <v>0</v>
      </c>
      <c r="AU70" s="572">
        <f t="shared" si="76"/>
        <v>0</v>
      </c>
      <c r="AV70" s="628">
        <f t="shared" si="76"/>
        <v>0</v>
      </c>
      <c r="AW70" s="625">
        <f t="shared" si="76"/>
        <v>0</v>
      </c>
    </row>
    <row r="71" spans="1:49" s="362" customFormat="1" ht="12.75" customHeight="1" hidden="1">
      <c r="A71" s="361"/>
      <c r="B71" s="577">
        <v>801</v>
      </c>
      <c r="C71" s="446"/>
      <c r="D71" s="578" t="s">
        <v>259</v>
      </c>
      <c r="E71" s="579">
        <f t="shared" si="3"/>
        <v>0</v>
      </c>
      <c r="F71" s="455">
        <f>F72+F74+F77</f>
        <v>0</v>
      </c>
      <c r="G71" s="455">
        <f>G72+G74+G77</f>
        <v>0</v>
      </c>
      <c r="H71" s="629">
        <f>H72+H74+H77</f>
        <v>0</v>
      </c>
      <c r="I71" s="456">
        <f>I72+I74+I77</f>
        <v>0</v>
      </c>
      <c r="J71" s="580">
        <f t="shared" si="47"/>
        <v>0</v>
      </c>
      <c r="K71" s="452">
        <f>K72+K74+K77</f>
        <v>0</v>
      </c>
      <c r="L71" s="452">
        <f>L72+L74+L77</f>
        <v>0</v>
      </c>
      <c r="M71" s="453">
        <f>M72+M74+M77</f>
        <v>0</v>
      </c>
      <c r="N71" s="454">
        <f>N72+N74+N77</f>
        <v>0</v>
      </c>
      <c r="O71" s="579">
        <f t="shared" si="48"/>
        <v>0</v>
      </c>
      <c r="P71" s="630">
        <f>P72+P74+P77</f>
        <v>0</v>
      </c>
      <c r="Q71" s="630">
        <f>Q72+Q74+Q77</f>
        <v>0</v>
      </c>
      <c r="R71" s="631">
        <f>R72+R74+R77</f>
        <v>0</v>
      </c>
      <c r="S71" s="456">
        <f>S72+S74+S77</f>
        <v>0</v>
      </c>
      <c r="T71" s="580">
        <f t="shared" si="66"/>
        <v>0</v>
      </c>
      <c r="U71" s="452">
        <f>U72+U74+U77</f>
        <v>0</v>
      </c>
      <c r="V71" s="452">
        <f>V72+V74+V77</f>
        <v>0</v>
      </c>
      <c r="W71" s="453">
        <f>W72+W74+W77</f>
        <v>0</v>
      </c>
      <c r="X71" s="454">
        <f>X72+X74+X77</f>
        <v>0</v>
      </c>
      <c r="Y71" s="579">
        <f t="shared" si="67"/>
        <v>0</v>
      </c>
      <c r="Z71" s="630">
        <f>Z72+Z74+Z77</f>
        <v>0</v>
      </c>
      <c r="AA71" s="630">
        <f>AA72+AA74+AA77</f>
        <v>0</v>
      </c>
      <c r="AB71" s="631">
        <f>AB72+AB74+AB77</f>
        <v>0</v>
      </c>
      <c r="AC71" s="456">
        <f>AC72+AC74+AC77</f>
        <v>0</v>
      </c>
      <c r="AD71" s="580">
        <f t="shared" si="68"/>
        <v>0</v>
      </c>
      <c r="AE71" s="452">
        <f>AE72+AE74+AE77</f>
        <v>0</v>
      </c>
      <c r="AF71" s="452">
        <f>AF72+AF74+AF77</f>
        <v>0</v>
      </c>
      <c r="AG71" s="453">
        <f>AG72+AG74+AG77</f>
        <v>0</v>
      </c>
      <c r="AH71" s="454">
        <f>AH72+AH74+AH77</f>
        <v>0</v>
      </c>
      <c r="AI71" s="579">
        <f t="shared" si="69"/>
        <v>0</v>
      </c>
      <c r="AJ71" s="630">
        <f>AJ72+AJ74+AJ77</f>
        <v>0</v>
      </c>
      <c r="AK71" s="630">
        <f>AK72+AK74+AK77</f>
        <v>0</v>
      </c>
      <c r="AL71" s="631">
        <f>AL72+AL74+AL77</f>
        <v>0</v>
      </c>
      <c r="AM71" s="456">
        <f>AM72+AM74+AM77</f>
        <v>0</v>
      </c>
      <c r="AN71" s="580">
        <f t="shared" si="70"/>
        <v>0</v>
      </c>
      <c r="AO71" s="452">
        <f>AO72+AO74+AO77</f>
        <v>0</v>
      </c>
      <c r="AP71" s="452">
        <f>AP72+AP74+AP77</f>
        <v>0</v>
      </c>
      <c r="AQ71" s="453">
        <f>AQ72+AQ74+AQ77</f>
        <v>0</v>
      </c>
      <c r="AR71" s="454">
        <f>AR72+AR74+AR77</f>
        <v>0</v>
      </c>
      <c r="AS71" s="579">
        <f t="shared" si="71"/>
        <v>0</v>
      </c>
      <c r="AT71" s="630">
        <f>AT72+AT74+AT77</f>
        <v>0</v>
      </c>
      <c r="AU71" s="630">
        <f>AU72+AU74+AU77</f>
        <v>0</v>
      </c>
      <c r="AV71" s="631">
        <f>AV72+AV74+AV77</f>
        <v>0</v>
      </c>
      <c r="AW71" s="456">
        <f>AW72+AW74+AW77</f>
        <v>0</v>
      </c>
    </row>
    <row r="72" spans="1:49" s="360" customFormat="1" ht="19.5" customHeight="1" hidden="1">
      <c r="A72" s="350"/>
      <c r="B72" s="581">
        <v>80115</v>
      </c>
      <c r="C72" s="499"/>
      <c r="D72" s="582" t="s">
        <v>615</v>
      </c>
      <c r="E72" s="583">
        <f t="shared" si="3"/>
        <v>0</v>
      </c>
      <c r="F72" s="584">
        <f>F73</f>
        <v>0</v>
      </c>
      <c r="G72" s="584">
        <f>G73</f>
        <v>0</v>
      </c>
      <c r="H72" s="585">
        <f>H73</f>
        <v>0</v>
      </c>
      <c r="I72" s="586">
        <f>I73</f>
        <v>0</v>
      </c>
      <c r="J72" s="587">
        <f t="shared" si="47"/>
        <v>0</v>
      </c>
      <c r="K72" s="588">
        <f>K73</f>
        <v>0</v>
      </c>
      <c r="L72" s="588">
        <f>L73</f>
        <v>0</v>
      </c>
      <c r="M72" s="589"/>
      <c r="N72" s="590"/>
      <c r="O72" s="583">
        <f t="shared" si="48"/>
        <v>0</v>
      </c>
      <c r="P72" s="584">
        <f>P73</f>
        <v>0</v>
      </c>
      <c r="Q72" s="584">
        <f>Q73</f>
        <v>0</v>
      </c>
      <c r="R72" s="585">
        <f>R73</f>
        <v>0</v>
      </c>
      <c r="S72" s="586">
        <f>S73</f>
        <v>0</v>
      </c>
      <c r="T72" s="587">
        <f t="shared" si="66"/>
        <v>0</v>
      </c>
      <c r="U72" s="588">
        <f>U73</f>
        <v>0</v>
      </c>
      <c r="V72" s="588">
        <f>V73</f>
        <v>0</v>
      </c>
      <c r="W72" s="589"/>
      <c r="X72" s="590"/>
      <c r="Y72" s="583">
        <f t="shared" si="67"/>
        <v>0</v>
      </c>
      <c r="Z72" s="584">
        <f>Z73</f>
        <v>0</v>
      </c>
      <c r="AA72" s="584">
        <f>AA73</f>
        <v>0</v>
      </c>
      <c r="AB72" s="585">
        <f>AB73</f>
        <v>0</v>
      </c>
      <c r="AC72" s="586">
        <f>AC73</f>
        <v>0</v>
      </c>
      <c r="AD72" s="587">
        <f t="shared" si="68"/>
        <v>0</v>
      </c>
      <c r="AE72" s="588">
        <f>AE73</f>
        <v>0</v>
      </c>
      <c r="AF72" s="588">
        <f>AF73</f>
        <v>0</v>
      </c>
      <c r="AG72" s="589"/>
      <c r="AH72" s="590"/>
      <c r="AI72" s="583">
        <f t="shared" si="69"/>
        <v>0</v>
      </c>
      <c r="AJ72" s="584">
        <f>AJ73</f>
        <v>0</v>
      </c>
      <c r="AK72" s="584">
        <f>AK73</f>
        <v>0</v>
      </c>
      <c r="AL72" s="585">
        <f>AL73</f>
        <v>0</v>
      </c>
      <c r="AM72" s="586">
        <f>AM73</f>
        <v>0</v>
      </c>
      <c r="AN72" s="587">
        <f t="shared" si="70"/>
        <v>0</v>
      </c>
      <c r="AO72" s="588">
        <f>AO73</f>
        <v>0</v>
      </c>
      <c r="AP72" s="588">
        <f>AP73</f>
        <v>0</v>
      </c>
      <c r="AQ72" s="589"/>
      <c r="AR72" s="590"/>
      <c r="AS72" s="583">
        <f t="shared" si="71"/>
        <v>0</v>
      </c>
      <c r="AT72" s="584">
        <f>AT73</f>
        <v>0</v>
      </c>
      <c r="AU72" s="584">
        <f>AU73</f>
        <v>0</v>
      </c>
      <c r="AV72" s="585">
        <f>AV73</f>
        <v>0</v>
      </c>
      <c r="AW72" s="586">
        <f>AW73</f>
        <v>0</v>
      </c>
    </row>
    <row r="73" spans="1:49" s="362" customFormat="1" ht="26.25" customHeight="1" hidden="1">
      <c r="A73" s="361"/>
      <c r="B73" s="592">
        <v>6580</v>
      </c>
      <c r="C73" s="458" t="s">
        <v>619</v>
      </c>
      <c r="D73" s="632" t="s">
        <v>620</v>
      </c>
      <c r="E73" s="593">
        <f t="shared" si="3"/>
        <v>0</v>
      </c>
      <c r="F73" s="594"/>
      <c r="G73" s="594"/>
      <c r="H73" s="595">
        <v>0</v>
      </c>
      <c r="I73" s="596">
        <v>0</v>
      </c>
      <c r="J73" s="597">
        <f t="shared" si="47"/>
        <v>0</v>
      </c>
      <c r="K73" s="598"/>
      <c r="L73" s="598"/>
      <c r="M73" s="599"/>
      <c r="N73" s="600"/>
      <c r="O73" s="593">
        <f t="shared" si="48"/>
        <v>0</v>
      </c>
      <c r="P73" s="633">
        <f>F73+K73</f>
        <v>0</v>
      </c>
      <c r="Q73" s="633">
        <f>G73+L73</f>
        <v>0</v>
      </c>
      <c r="R73" s="634">
        <f>H73+M73</f>
        <v>0</v>
      </c>
      <c r="S73" s="596">
        <f>I73+N73</f>
        <v>0</v>
      </c>
      <c r="T73" s="597">
        <f t="shared" si="66"/>
        <v>0</v>
      </c>
      <c r="U73" s="598"/>
      <c r="V73" s="598"/>
      <c r="W73" s="599"/>
      <c r="X73" s="600"/>
      <c r="Y73" s="593">
        <f t="shared" si="67"/>
        <v>0</v>
      </c>
      <c r="Z73" s="633">
        <f>P73+U73</f>
        <v>0</v>
      </c>
      <c r="AA73" s="633">
        <f>Q73+V73</f>
        <v>0</v>
      </c>
      <c r="AB73" s="634">
        <f>R73+W73</f>
        <v>0</v>
      </c>
      <c r="AC73" s="596">
        <f>S73+X73</f>
        <v>0</v>
      </c>
      <c r="AD73" s="597">
        <f t="shared" si="68"/>
        <v>0</v>
      </c>
      <c r="AE73" s="598"/>
      <c r="AF73" s="598"/>
      <c r="AG73" s="599"/>
      <c r="AH73" s="600"/>
      <c r="AI73" s="593">
        <f t="shared" si="69"/>
        <v>0</v>
      </c>
      <c r="AJ73" s="633">
        <f>Z73+AE73</f>
        <v>0</v>
      </c>
      <c r="AK73" s="633">
        <f>AA73+AF73</f>
        <v>0</v>
      </c>
      <c r="AL73" s="634">
        <f>AB73+AG73</f>
        <v>0</v>
      </c>
      <c r="AM73" s="596">
        <f>AC73+AH73</f>
        <v>0</v>
      </c>
      <c r="AN73" s="597">
        <f t="shared" si="70"/>
        <v>0</v>
      </c>
      <c r="AO73" s="598"/>
      <c r="AP73" s="598"/>
      <c r="AQ73" s="599"/>
      <c r="AR73" s="600"/>
      <c r="AS73" s="593">
        <f t="shared" si="71"/>
        <v>0</v>
      </c>
      <c r="AT73" s="633">
        <f>AJ73+AO73</f>
        <v>0</v>
      </c>
      <c r="AU73" s="633">
        <f>AK73+AP73</f>
        <v>0</v>
      </c>
      <c r="AV73" s="634">
        <f>AL73+AQ73</f>
        <v>0</v>
      </c>
      <c r="AW73" s="596">
        <f>AM73+AR73</f>
        <v>0</v>
      </c>
    </row>
    <row r="74" spans="1:49" s="360" customFormat="1" ht="22.5" customHeight="1" hidden="1">
      <c r="A74" s="350"/>
      <c r="B74" s="581">
        <v>80120</v>
      </c>
      <c r="C74" s="499"/>
      <c r="D74" s="582" t="s">
        <v>217</v>
      </c>
      <c r="E74" s="583">
        <f t="shared" si="3"/>
        <v>0</v>
      </c>
      <c r="F74" s="584">
        <f>SUM(F75:F76)</f>
        <v>0</v>
      </c>
      <c r="G74" s="584">
        <f>SUM(G75:G76)</f>
        <v>0</v>
      </c>
      <c r="H74" s="585">
        <f>SUM(H75:H76)</f>
        <v>0</v>
      </c>
      <c r="I74" s="586">
        <f>SUM(I75:I76)</f>
        <v>0</v>
      </c>
      <c r="J74" s="587">
        <f t="shared" si="47"/>
        <v>0</v>
      </c>
      <c r="K74" s="588">
        <f>SUM(K75:K76)</f>
        <v>0</v>
      </c>
      <c r="L74" s="588">
        <f>SUM(L75:L76)</f>
        <v>0</v>
      </c>
      <c r="M74" s="589">
        <f>SUM(M75:M76)</f>
        <v>0</v>
      </c>
      <c r="N74" s="590">
        <f>SUM(N75:N76)</f>
        <v>0</v>
      </c>
      <c r="O74" s="583">
        <f t="shared" si="48"/>
        <v>0</v>
      </c>
      <c r="P74" s="584">
        <f>SUM(P75:P76)</f>
        <v>0</v>
      </c>
      <c r="Q74" s="584">
        <f>SUM(Q75:Q76)</f>
        <v>0</v>
      </c>
      <c r="R74" s="585">
        <f>SUM(R75:R76)</f>
        <v>0</v>
      </c>
      <c r="S74" s="586">
        <f>SUM(S75:S76)</f>
        <v>0</v>
      </c>
      <c r="T74" s="587">
        <f t="shared" si="66"/>
        <v>0</v>
      </c>
      <c r="U74" s="588">
        <f>SUM(U75:U76)</f>
        <v>0</v>
      </c>
      <c r="V74" s="588">
        <f>SUM(V75:V76)</f>
        <v>0</v>
      </c>
      <c r="W74" s="589">
        <f>SUM(W75:W76)</f>
        <v>0</v>
      </c>
      <c r="X74" s="590">
        <f>SUM(X75:X76)</f>
        <v>0</v>
      </c>
      <c r="Y74" s="583">
        <f t="shared" si="67"/>
        <v>0</v>
      </c>
      <c r="Z74" s="584">
        <f>SUM(Z75:Z76)</f>
        <v>0</v>
      </c>
      <c r="AA74" s="584">
        <f>SUM(AA75:AA76)</f>
        <v>0</v>
      </c>
      <c r="AB74" s="585">
        <f>SUM(AB75:AB76)</f>
        <v>0</v>
      </c>
      <c r="AC74" s="586">
        <f>SUM(AC75:AC76)</f>
        <v>0</v>
      </c>
      <c r="AD74" s="587">
        <f t="shared" si="68"/>
        <v>0</v>
      </c>
      <c r="AE74" s="588">
        <f>SUM(AE75:AE76)</f>
        <v>0</v>
      </c>
      <c r="AF74" s="588">
        <f>SUM(AF75:AF76)</f>
        <v>0</v>
      </c>
      <c r="AG74" s="589">
        <f>SUM(AG75:AG76)</f>
        <v>0</v>
      </c>
      <c r="AH74" s="590">
        <f>SUM(AH75:AH76)</f>
        <v>0</v>
      </c>
      <c r="AI74" s="583">
        <f t="shared" si="69"/>
        <v>0</v>
      </c>
      <c r="AJ74" s="584">
        <f>SUM(AJ75:AJ76)</f>
        <v>0</v>
      </c>
      <c r="AK74" s="584">
        <f>SUM(AK75:AK76)</f>
        <v>0</v>
      </c>
      <c r="AL74" s="585">
        <f>SUM(AL75:AL76)</f>
        <v>0</v>
      </c>
      <c r="AM74" s="586">
        <f>SUM(AM75:AM76)</f>
        <v>0</v>
      </c>
      <c r="AN74" s="587">
        <f t="shared" si="70"/>
        <v>0</v>
      </c>
      <c r="AO74" s="588">
        <f>SUM(AO75:AO76)</f>
        <v>0</v>
      </c>
      <c r="AP74" s="588">
        <f>SUM(AP75:AP76)</f>
        <v>0</v>
      </c>
      <c r="AQ74" s="589">
        <f>SUM(AQ75:AQ76)</f>
        <v>0</v>
      </c>
      <c r="AR74" s="590">
        <f>SUM(AR75:AR76)</f>
        <v>0</v>
      </c>
      <c r="AS74" s="583">
        <f t="shared" si="71"/>
        <v>0</v>
      </c>
      <c r="AT74" s="584">
        <f>SUM(AT75:AT76)</f>
        <v>0</v>
      </c>
      <c r="AU74" s="584">
        <f>SUM(AU75:AU76)</f>
        <v>0</v>
      </c>
      <c r="AV74" s="585">
        <f>SUM(AV75:AV76)</f>
        <v>0</v>
      </c>
      <c r="AW74" s="586">
        <f>SUM(AW75:AW76)</f>
        <v>0</v>
      </c>
    </row>
    <row r="75" spans="1:49" s="362" customFormat="1" ht="25.5" customHeight="1" hidden="1">
      <c r="A75" s="361"/>
      <c r="B75" s="555">
        <v>6050</v>
      </c>
      <c r="C75" s="469" t="s">
        <v>616</v>
      </c>
      <c r="D75" s="607" t="s">
        <v>621</v>
      </c>
      <c r="E75" s="558">
        <f t="shared" si="3"/>
        <v>0</v>
      </c>
      <c r="F75" s="559"/>
      <c r="G75" s="559"/>
      <c r="H75" s="561">
        <v>0</v>
      </c>
      <c r="I75" s="562">
        <v>0</v>
      </c>
      <c r="J75" s="563">
        <f t="shared" si="47"/>
        <v>0</v>
      </c>
      <c r="K75" s="564"/>
      <c r="L75" s="565"/>
      <c r="M75" s="566"/>
      <c r="N75" s="567"/>
      <c r="O75" s="558">
        <f t="shared" si="48"/>
        <v>0</v>
      </c>
      <c r="P75" s="615">
        <f aca="true" t="shared" si="77" ref="P75:S76">F75+K75</f>
        <v>0</v>
      </c>
      <c r="Q75" s="615">
        <f t="shared" si="77"/>
        <v>0</v>
      </c>
      <c r="R75" s="623">
        <f t="shared" si="77"/>
        <v>0</v>
      </c>
      <c r="S75" s="562">
        <f t="shared" si="77"/>
        <v>0</v>
      </c>
      <c r="T75" s="563">
        <f t="shared" si="66"/>
        <v>0</v>
      </c>
      <c r="U75" s="564"/>
      <c r="V75" s="565"/>
      <c r="W75" s="566"/>
      <c r="X75" s="567"/>
      <c r="Y75" s="558">
        <f t="shared" si="67"/>
        <v>0</v>
      </c>
      <c r="Z75" s="615">
        <f aca="true" t="shared" si="78" ref="Z75:AC76">P75+U75</f>
        <v>0</v>
      </c>
      <c r="AA75" s="615">
        <f t="shared" si="78"/>
        <v>0</v>
      </c>
      <c r="AB75" s="623">
        <f t="shared" si="78"/>
        <v>0</v>
      </c>
      <c r="AC75" s="562">
        <f t="shared" si="78"/>
        <v>0</v>
      </c>
      <c r="AD75" s="563">
        <f t="shared" si="68"/>
        <v>0</v>
      </c>
      <c r="AE75" s="564"/>
      <c r="AF75" s="565"/>
      <c r="AG75" s="566"/>
      <c r="AH75" s="567"/>
      <c r="AI75" s="558">
        <f t="shared" si="69"/>
        <v>0</v>
      </c>
      <c r="AJ75" s="615">
        <f aca="true" t="shared" si="79" ref="AJ75:AM76">Z75+AE75</f>
        <v>0</v>
      </c>
      <c r="AK75" s="615">
        <f t="shared" si="79"/>
        <v>0</v>
      </c>
      <c r="AL75" s="623">
        <f t="shared" si="79"/>
        <v>0</v>
      </c>
      <c r="AM75" s="562">
        <f t="shared" si="79"/>
        <v>0</v>
      </c>
      <c r="AN75" s="563">
        <f t="shared" si="70"/>
        <v>0</v>
      </c>
      <c r="AO75" s="564"/>
      <c r="AP75" s="565"/>
      <c r="AQ75" s="566"/>
      <c r="AR75" s="567"/>
      <c r="AS75" s="558">
        <f t="shared" si="71"/>
        <v>0</v>
      </c>
      <c r="AT75" s="615">
        <f aca="true" t="shared" si="80" ref="AT75:AW76">AJ75+AO75</f>
        <v>0</v>
      </c>
      <c r="AU75" s="615">
        <f t="shared" si="80"/>
        <v>0</v>
      </c>
      <c r="AV75" s="623">
        <f t="shared" si="80"/>
        <v>0</v>
      </c>
      <c r="AW75" s="562">
        <f t="shared" si="80"/>
        <v>0</v>
      </c>
    </row>
    <row r="76" spans="1:49" s="362" customFormat="1" ht="25.5" customHeight="1" hidden="1">
      <c r="A76" s="361"/>
      <c r="B76" s="555">
        <v>6580</v>
      </c>
      <c r="C76" s="570" t="s">
        <v>614</v>
      </c>
      <c r="D76" s="571" t="s">
        <v>655</v>
      </c>
      <c r="E76" s="558">
        <f t="shared" si="3"/>
        <v>0</v>
      </c>
      <c r="F76" s="559"/>
      <c r="G76" s="559"/>
      <c r="H76" s="561">
        <v>0</v>
      </c>
      <c r="I76" s="562">
        <v>0</v>
      </c>
      <c r="J76" s="563">
        <f t="shared" si="47"/>
        <v>0</v>
      </c>
      <c r="K76" s="564">
        <v>0</v>
      </c>
      <c r="L76" s="565"/>
      <c r="M76" s="566"/>
      <c r="N76" s="567"/>
      <c r="O76" s="558">
        <f t="shared" si="48"/>
        <v>0</v>
      </c>
      <c r="P76" s="572">
        <f t="shared" si="77"/>
        <v>0</v>
      </c>
      <c r="Q76" s="572">
        <f t="shared" si="77"/>
        <v>0</v>
      </c>
      <c r="R76" s="628">
        <f t="shared" si="77"/>
        <v>0</v>
      </c>
      <c r="S76" s="562">
        <f t="shared" si="77"/>
        <v>0</v>
      </c>
      <c r="T76" s="563">
        <f t="shared" si="66"/>
        <v>0</v>
      </c>
      <c r="U76" s="564">
        <v>0</v>
      </c>
      <c r="V76" s="565"/>
      <c r="W76" s="566"/>
      <c r="X76" s="567"/>
      <c r="Y76" s="558">
        <f t="shared" si="67"/>
        <v>0</v>
      </c>
      <c r="Z76" s="572">
        <f t="shared" si="78"/>
        <v>0</v>
      </c>
      <c r="AA76" s="572">
        <f t="shared" si="78"/>
        <v>0</v>
      </c>
      <c r="AB76" s="628">
        <f t="shared" si="78"/>
        <v>0</v>
      </c>
      <c r="AC76" s="562">
        <f t="shared" si="78"/>
        <v>0</v>
      </c>
      <c r="AD76" s="563">
        <f t="shared" si="68"/>
        <v>0</v>
      </c>
      <c r="AE76" s="564">
        <v>0</v>
      </c>
      <c r="AF76" s="565"/>
      <c r="AG76" s="566"/>
      <c r="AH76" s="567"/>
      <c r="AI76" s="558">
        <f t="shared" si="69"/>
        <v>0</v>
      </c>
      <c r="AJ76" s="572">
        <f t="shared" si="79"/>
        <v>0</v>
      </c>
      <c r="AK76" s="572">
        <f t="shared" si="79"/>
        <v>0</v>
      </c>
      <c r="AL76" s="628">
        <f t="shared" si="79"/>
        <v>0</v>
      </c>
      <c r="AM76" s="562">
        <f t="shared" si="79"/>
        <v>0</v>
      </c>
      <c r="AN76" s="563">
        <f t="shared" si="70"/>
        <v>0</v>
      </c>
      <c r="AO76" s="564">
        <v>0</v>
      </c>
      <c r="AP76" s="565"/>
      <c r="AQ76" s="566"/>
      <c r="AR76" s="567"/>
      <c r="AS76" s="558">
        <f t="shared" si="71"/>
        <v>0</v>
      </c>
      <c r="AT76" s="572">
        <f t="shared" si="80"/>
        <v>0</v>
      </c>
      <c r="AU76" s="572">
        <f t="shared" si="80"/>
        <v>0</v>
      </c>
      <c r="AV76" s="628">
        <f t="shared" si="80"/>
        <v>0</v>
      </c>
      <c r="AW76" s="562">
        <f t="shared" si="80"/>
        <v>0</v>
      </c>
    </row>
    <row r="77" spans="1:49" s="360" customFormat="1" ht="21.75" customHeight="1" hidden="1">
      <c r="A77" s="350"/>
      <c r="B77" s="581">
        <v>80132</v>
      </c>
      <c r="C77" s="499"/>
      <c r="D77" s="582" t="s">
        <v>323</v>
      </c>
      <c r="E77" s="583">
        <f t="shared" si="3"/>
        <v>0</v>
      </c>
      <c r="F77" s="601">
        <f>F78</f>
        <v>0</v>
      </c>
      <c r="G77" s="601">
        <f>G78</f>
        <v>0</v>
      </c>
      <c r="H77" s="602">
        <f>H78</f>
        <v>0</v>
      </c>
      <c r="I77" s="603">
        <f>I78</f>
        <v>0</v>
      </c>
      <c r="J77" s="587">
        <f t="shared" si="47"/>
        <v>0</v>
      </c>
      <c r="K77" s="604">
        <f>K78</f>
        <v>0</v>
      </c>
      <c r="L77" s="588">
        <f>L78</f>
        <v>0</v>
      </c>
      <c r="M77" s="589">
        <f>M78</f>
        <v>0</v>
      </c>
      <c r="N77" s="590">
        <f>N78</f>
        <v>0</v>
      </c>
      <c r="O77" s="583">
        <f t="shared" si="48"/>
        <v>0</v>
      </c>
      <c r="P77" s="601">
        <f>P78</f>
        <v>0</v>
      </c>
      <c r="Q77" s="601">
        <f>Q78</f>
        <v>0</v>
      </c>
      <c r="R77" s="602">
        <f>R78</f>
        <v>0</v>
      </c>
      <c r="S77" s="603">
        <f>S78</f>
        <v>0</v>
      </c>
      <c r="T77" s="587">
        <f t="shared" si="66"/>
        <v>0</v>
      </c>
      <c r="U77" s="604">
        <f>U78</f>
        <v>0</v>
      </c>
      <c r="V77" s="588">
        <f>V78</f>
        <v>0</v>
      </c>
      <c r="W77" s="589">
        <f>W78</f>
        <v>0</v>
      </c>
      <c r="X77" s="590">
        <f>X78</f>
        <v>0</v>
      </c>
      <c r="Y77" s="583">
        <f t="shared" si="67"/>
        <v>0</v>
      </c>
      <c r="Z77" s="601">
        <f>Z78</f>
        <v>0</v>
      </c>
      <c r="AA77" s="601">
        <f>AA78</f>
        <v>0</v>
      </c>
      <c r="AB77" s="602">
        <f>AB78</f>
        <v>0</v>
      </c>
      <c r="AC77" s="603">
        <f>AC78</f>
        <v>0</v>
      </c>
      <c r="AD77" s="587">
        <f t="shared" si="68"/>
        <v>0</v>
      </c>
      <c r="AE77" s="604">
        <f>AE78</f>
        <v>0</v>
      </c>
      <c r="AF77" s="588">
        <f>AF78</f>
        <v>0</v>
      </c>
      <c r="AG77" s="589">
        <f>AG78</f>
        <v>0</v>
      </c>
      <c r="AH77" s="590">
        <f>AH78</f>
        <v>0</v>
      </c>
      <c r="AI77" s="583">
        <f t="shared" si="69"/>
        <v>0</v>
      </c>
      <c r="AJ77" s="601">
        <f>AJ78</f>
        <v>0</v>
      </c>
      <c r="AK77" s="601">
        <f>AK78</f>
        <v>0</v>
      </c>
      <c r="AL77" s="602">
        <f>AL78</f>
        <v>0</v>
      </c>
      <c r="AM77" s="603">
        <f>AM78</f>
        <v>0</v>
      </c>
      <c r="AN77" s="587">
        <f t="shared" si="70"/>
        <v>0</v>
      </c>
      <c r="AO77" s="604">
        <f>AO78</f>
        <v>0</v>
      </c>
      <c r="AP77" s="588">
        <f>AP78</f>
        <v>0</v>
      </c>
      <c r="AQ77" s="589">
        <f>AQ78</f>
        <v>0</v>
      </c>
      <c r="AR77" s="590">
        <f>AR78</f>
        <v>0</v>
      </c>
      <c r="AS77" s="583">
        <f t="shared" si="71"/>
        <v>0</v>
      </c>
      <c r="AT77" s="601">
        <f>AT78</f>
        <v>0</v>
      </c>
      <c r="AU77" s="601">
        <f>AU78</f>
        <v>0</v>
      </c>
      <c r="AV77" s="602">
        <f>AV78</f>
        <v>0</v>
      </c>
      <c r="AW77" s="603">
        <f>AW78</f>
        <v>0</v>
      </c>
    </row>
    <row r="78" spans="1:49" s="367" customFormat="1" ht="27" customHeight="1" hidden="1">
      <c r="A78" s="361"/>
      <c r="B78" s="592">
        <v>6580</v>
      </c>
      <c r="C78" s="458" t="s">
        <v>622</v>
      </c>
      <c r="D78" s="632" t="s">
        <v>656</v>
      </c>
      <c r="E78" s="593">
        <f t="shared" si="3"/>
        <v>0</v>
      </c>
      <c r="F78" s="633">
        <v>0</v>
      </c>
      <c r="G78" s="633">
        <v>0</v>
      </c>
      <c r="H78" s="635">
        <v>0</v>
      </c>
      <c r="I78" s="636">
        <v>0</v>
      </c>
      <c r="J78" s="597">
        <f t="shared" si="47"/>
        <v>0</v>
      </c>
      <c r="K78" s="637"/>
      <c r="L78" s="598"/>
      <c r="M78" s="599"/>
      <c r="N78" s="600"/>
      <c r="O78" s="593">
        <f t="shared" si="48"/>
        <v>0</v>
      </c>
      <c r="P78" s="633">
        <f>F78+K78</f>
        <v>0</v>
      </c>
      <c r="Q78" s="633">
        <f>G78+L78</f>
        <v>0</v>
      </c>
      <c r="R78" s="634">
        <f>H78+M78</f>
        <v>0</v>
      </c>
      <c r="S78" s="636">
        <f>I78+N78</f>
        <v>0</v>
      </c>
      <c r="T78" s="597">
        <f t="shared" si="66"/>
        <v>0</v>
      </c>
      <c r="U78" s="637"/>
      <c r="V78" s="598"/>
      <c r="W78" s="599"/>
      <c r="X78" s="600"/>
      <c r="Y78" s="593">
        <f t="shared" si="67"/>
        <v>0</v>
      </c>
      <c r="Z78" s="633">
        <f>P78+U78</f>
        <v>0</v>
      </c>
      <c r="AA78" s="633">
        <f>Q78+V78</f>
        <v>0</v>
      </c>
      <c r="AB78" s="634">
        <f>R78+W78</f>
        <v>0</v>
      </c>
      <c r="AC78" s="636">
        <f>S78+X78</f>
        <v>0</v>
      </c>
      <c r="AD78" s="597">
        <f t="shared" si="68"/>
        <v>0</v>
      </c>
      <c r="AE78" s="637"/>
      <c r="AF78" s="598"/>
      <c r="AG78" s="599"/>
      <c r="AH78" s="600"/>
      <c r="AI78" s="593">
        <f t="shared" si="69"/>
        <v>0</v>
      </c>
      <c r="AJ78" s="633">
        <f>Z78+AE78</f>
        <v>0</v>
      </c>
      <c r="AK78" s="633">
        <f>AA78+AF78</f>
        <v>0</v>
      </c>
      <c r="AL78" s="634">
        <f>AB78+AG78</f>
        <v>0</v>
      </c>
      <c r="AM78" s="636">
        <f>AC78+AH78</f>
        <v>0</v>
      </c>
      <c r="AN78" s="597">
        <f t="shared" si="70"/>
        <v>0</v>
      </c>
      <c r="AO78" s="637"/>
      <c r="AP78" s="598"/>
      <c r="AQ78" s="599"/>
      <c r="AR78" s="600"/>
      <c r="AS78" s="593">
        <f t="shared" si="71"/>
        <v>0</v>
      </c>
      <c r="AT78" s="633">
        <f>AJ78+AO78</f>
        <v>0</v>
      </c>
      <c r="AU78" s="633">
        <f>AK78+AP78</f>
        <v>0</v>
      </c>
      <c r="AV78" s="634">
        <f>AL78+AQ78</f>
        <v>0</v>
      </c>
      <c r="AW78" s="636">
        <f>AM78+AR78</f>
        <v>0</v>
      </c>
    </row>
    <row r="79" spans="1:49" s="370" customFormat="1" ht="15" customHeight="1" hidden="1">
      <c r="A79" s="369"/>
      <c r="B79" s="638">
        <v>854</v>
      </c>
      <c r="C79" s="639"/>
      <c r="D79" s="640" t="s">
        <v>494</v>
      </c>
      <c r="E79" s="641">
        <f t="shared" si="3"/>
        <v>0</v>
      </c>
      <c r="F79" s="642">
        <f aca="true" t="shared" si="81" ref="F79:I80">F80</f>
        <v>0</v>
      </c>
      <c r="G79" s="642">
        <f t="shared" si="81"/>
        <v>0</v>
      </c>
      <c r="H79" s="643">
        <f t="shared" si="81"/>
        <v>0</v>
      </c>
      <c r="I79" s="644">
        <f t="shared" si="81"/>
        <v>0</v>
      </c>
      <c r="J79" s="645">
        <f t="shared" si="47"/>
        <v>0</v>
      </c>
      <c r="K79" s="646">
        <f aca="true" t="shared" si="82" ref="K79:Z80">K80</f>
        <v>0</v>
      </c>
      <c r="L79" s="646">
        <f t="shared" si="82"/>
        <v>0</v>
      </c>
      <c r="M79" s="647">
        <f t="shared" si="82"/>
        <v>0</v>
      </c>
      <c r="N79" s="648">
        <f t="shared" si="82"/>
        <v>0</v>
      </c>
      <c r="O79" s="641">
        <f t="shared" si="48"/>
        <v>0</v>
      </c>
      <c r="P79" s="642">
        <f t="shared" si="82"/>
        <v>0</v>
      </c>
      <c r="Q79" s="642">
        <f t="shared" si="82"/>
        <v>0</v>
      </c>
      <c r="R79" s="643">
        <f t="shared" si="82"/>
        <v>0</v>
      </c>
      <c r="S79" s="644">
        <f t="shared" si="82"/>
        <v>0</v>
      </c>
      <c r="T79" s="645">
        <f t="shared" si="66"/>
        <v>0</v>
      </c>
      <c r="U79" s="646">
        <f t="shared" si="82"/>
        <v>0</v>
      </c>
      <c r="V79" s="646">
        <f t="shared" si="82"/>
        <v>0</v>
      </c>
      <c r="W79" s="647">
        <f t="shared" si="82"/>
        <v>0</v>
      </c>
      <c r="X79" s="648">
        <f t="shared" si="82"/>
        <v>0</v>
      </c>
      <c r="Y79" s="641">
        <f t="shared" si="67"/>
        <v>0</v>
      </c>
      <c r="Z79" s="642">
        <f t="shared" si="82"/>
        <v>0</v>
      </c>
      <c r="AA79" s="642">
        <f aca="true" t="shared" si="83" ref="U79:AC80">AA80</f>
        <v>0</v>
      </c>
      <c r="AB79" s="643">
        <f t="shared" si="83"/>
        <v>0</v>
      </c>
      <c r="AC79" s="644">
        <f t="shared" si="83"/>
        <v>0</v>
      </c>
      <c r="AD79" s="645">
        <f t="shared" si="68"/>
        <v>0</v>
      </c>
      <c r="AE79" s="646">
        <f aca="true" t="shared" si="84" ref="AE79:AT80">AE80</f>
        <v>0</v>
      </c>
      <c r="AF79" s="646">
        <f t="shared" si="84"/>
        <v>0</v>
      </c>
      <c r="AG79" s="647">
        <f t="shared" si="84"/>
        <v>0</v>
      </c>
      <c r="AH79" s="648">
        <f t="shared" si="84"/>
        <v>0</v>
      </c>
      <c r="AI79" s="641">
        <f t="shared" si="69"/>
        <v>0</v>
      </c>
      <c r="AJ79" s="642">
        <f t="shared" si="84"/>
        <v>0</v>
      </c>
      <c r="AK79" s="642">
        <f t="shared" si="84"/>
        <v>0</v>
      </c>
      <c r="AL79" s="643">
        <f t="shared" si="84"/>
        <v>0</v>
      </c>
      <c r="AM79" s="644">
        <f t="shared" si="84"/>
        <v>0</v>
      </c>
      <c r="AN79" s="645">
        <f t="shared" si="70"/>
        <v>0</v>
      </c>
      <c r="AO79" s="646">
        <f t="shared" si="84"/>
        <v>0</v>
      </c>
      <c r="AP79" s="646">
        <f t="shared" si="84"/>
        <v>0</v>
      </c>
      <c r="AQ79" s="647">
        <f t="shared" si="84"/>
        <v>0</v>
      </c>
      <c r="AR79" s="648">
        <f t="shared" si="84"/>
        <v>0</v>
      </c>
      <c r="AS79" s="641">
        <f t="shared" si="71"/>
        <v>0</v>
      </c>
      <c r="AT79" s="642">
        <f t="shared" si="84"/>
        <v>0</v>
      </c>
      <c r="AU79" s="642">
        <f aca="true" t="shared" si="85" ref="AO79:AW80">AU80</f>
        <v>0</v>
      </c>
      <c r="AV79" s="643">
        <f t="shared" si="85"/>
        <v>0</v>
      </c>
      <c r="AW79" s="644">
        <f t="shared" si="85"/>
        <v>0</v>
      </c>
    </row>
    <row r="80" spans="1:49" s="360" customFormat="1" ht="17.25" customHeight="1" hidden="1">
      <c r="A80" s="350"/>
      <c r="B80" s="581">
        <v>85407</v>
      </c>
      <c r="C80" s="499"/>
      <c r="D80" s="582" t="s">
        <v>495</v>
      </c>
      <c r="E80" s="583">
        <f t="shared" si="3"/>
        <v>0</v>
      </c>
      <c r="F80" s="584"/>
      <c r="G80" s="584"/>
      <c r="H80" s="535">
        <f t="shared" si="81"/>
        <v>0</v>
      </c>
      <c r="I80" s="586">
        <f t="shared" si="81"/>
        <v>0</v>
      </c>
      <c r="J80" s="587">
        <f t="shared" si="47"/>
        <v>0</v>
      </c>
      <c r="K80" s="588">
        <f t="shared" si="82"/>
        <v>0</v>
      </c>
      <c r="L80" s="588">
        <f t="shared" si="82"/>
        <v>0</v>
      </c>
      <c r="M80" s="649">
        <f t="shared" si="82"/>
        <v>0</v>
      </c>
      <c r="N80" s="590">
        <f t="shared" si="82"/>
        <v>0</v>
      </c>
      <c r="O80" s="583">
        <f t="shared" si="48"/>
        <v>0</v>
      </c>
      <c r="P80" s="584">
        <f t="shared" si="82"/>
        <v>0</v>
      </c>
      <c r="Q80" s="584">
        <f t="shared" si="82"/>
        <v>0</v>
      </c>
      <c r="R80" s="535">
        <f t="shared" si="82"/>
        <v>0</v>
      </c>
      <c r="S80" s="586">
        <f t="shared" si="82"/>
        <v>0</v>
      </c>
      <c r="T80" s="587">
        <f t="shared" si="66"/>
        <v>0</v>
      </c>
      <c r="U80" s="588">
        <f t="shared" si="83"/>
        <v>0</v>
      </c>
      <c r="V80" s="588">
        <f t="shared" si="83"/>
        <v>0</v>
      </c>
      <c r="W80" s="649">
        <f t="shared" si="83"/>
        <v>0</v>
      </c>
      <c r="X80" s="590">
        <f t="shared" si="83"/>
        <v>0</v>
      </c>
      <c r="Y80" s="583">
        <f t="shared" si="67"/>
        <v>0</v>
      </c>
      <c r="Z80" s="584">
        <f t="shared" si="83"/>
        <v>0</v>
      </c>
      <c r="AA80" s="584">
        <f t="shared" si="83"/>
        <v>0</v>
      </c>
      <c r="AB80" s="535">
        <f t="shared" si="83"/>
        <v>0</v>
      </c>
      <c r="AC80" s="586">
        <f t="shared" si="83"/>
        <v>0</v>
      </c>
      <c r="AD80" s="587">
        <f t="shared" si="68"/>
        <v>0</v>
      </c>
      <c r="AE80" s="588">
        <f t="shared" si="84"/>
        <v>0</v>
      </c>
      <c r="AF80" s="588">
        <f t="shared" si="84"/>
        <v>0</v>
      </c>
      <c r="AG80" s="649">
        <f t="shared" si="84"/>
        <v>0</v>
      </c>
      <c r="AH80" s="590">
        <f t="shared" si="84"/>
        <v>0</v>
      </c>
      <c r="AI80" s="583">
        <f t="shared" si="69"/>
        <v>0</v>
      </c>
      <c r="AJ80" s="584">
        <f t="shared" si="84"/>
        <v>0</v>
      </c>
      <c r="AK80" s="584">
        <f t="shared" si="84"/>
        <v>0</v>
      </c>
      <c r="AL80" s="535">
        <f t="shared" si="84"/>
        <v>0</v>
      </c>
      <c r="AM80" s="586">
        <f t="shared" si="84"/>
        <v>0</v>
      </c>
      <c r="AN80" s="587">
        <f t="shared" si="70"/>
        <v>0</v>
      </c>
      <c r="AO80" s="588">
        <f t="shared" si="85"/>
        <v>0</v>
      </c>
      <c r="AP80" s="588">
        <f t="shared" si="85"/>
        <v>0</v>
      </c>
      <c r="AQ80" s="649">
        <f t="shared" si="85"/>
        <v>0</v>
      </c>
      <c r="AR80" s="590">
        <f t="shared" si="85"/>
        <v>0</v>
      </c>
      <c r="AS80" s="583">
        <f t="shared" si="71"/>
        <v>0</v>
      </c>
      <c r="AT80" s="584">
        <f t="shared" si="85"/>
        <v>0</v>
      </c>
      <c r="AU80" s="584">
        <f t="shared" si="85"/>
        <v>0</v>
      </c>
      <c r="AV80" s="535">
        <f t="shared" si="85"/>
        <v>0</v>
      </c>
      <c r="AW80" s="586">
        <f t="shared" si="85"/>
        <v>0</v>
      </c>
    </row>
    <row r="81" spans="1:49" s="362" customFormat="1" ht="25.5" customHeight="1" hidden="1">
      <c r="A81" s="361"/>
      <c r="B81" s="592">
        <v>6050</v>
      </c>
      <c r="C81" s="458" t="s">
        <v>617</v>
      </c>
      <c r="D81" s="632" t="s">
        <v>642</v>
      </c>
      <c r="E81" s="593">
        <f t="shared" si="3"/>
        <v>0</v>
      </c>
      <c r="F81" s="594"/>
      <c r="G81" s="594"/>
      <c r="H81" s="650">
        <v>0</v>
      </c>
      <c r="I81" s="596">
        <v>0</v>
      </c>
      <c r="J81" s="597">
        <f t="shared" si="47"/>
        <v>0</v>
      </c>
      <c r="K81" s="598"/>
      <c r="L81" s="598"/>
      <c r="M81" s="651"/>
      <c r="N81" s="600"/>
      <c r="O81" s="593">
        <f t="shared" si="48"/>
        <v>0</v>
      </c>
      <c r="P81" s="633">
        <f>F81+K81</f>
        <v>0</v>
      </c>
      <c r="Q81" s="633">
        <f>G81+L81</f>
        <v>0</v>
      </c>
      <c r="R81" s="634">
        <f>H81+M81</f>
        <v>0</v>
      </c>
      <c r="S81" s="596">
        <f>I81+N81</f>
        <v>0</v>
      </c>
      <c r="T81" s="597">
        <f t="shared" si="66"/>
        <v>0</v>
      </c>
      <c r="U81" s="598"/>
      <c r="V81" s="598"/>
      <c r="W81" s="651"/>
      <c r="X81" s="600"/>
      <c r="Y81" s="593">
        <f t="shared" si="67"/>
        <v>0</v>
      </c>
      <c r="Z81" s="633">
        <f>P81+U81</f>
        <v>0</v>
      </c>
      <c r="AA81" s="633">
        <f>Q81+V81</f>
        <v>0</v>
      </c>
      <c r="AB81" s="634">
        <f>R81+W81</f>
        <v>0</v>
      </c>
      <c r="AC81" s="596">
        <f>S81+X81</f>
        <v>0</v>
      </c>
      <c r="AD81" s="597">
        <f t="shared" si="68"/>
        <v>0</v>
      </c>
      <c r="AE81" s="598"/>
      <c r="AF81" s="598"/>
      <c r="AG81" s="651"/>
      <c r="AH81" s="600"/>
      <c r="AI81" s="593">
        <f t="shared" si="69"/>
        <v>0</v>
      </c>
      <c r="AJ81" s="633">
        <f>Z81+AE81</f>
        <v>0</v>
      </c>
      <c r="AK81" s="633">
        <f>AA81+AF81</f>
        <v>0</v>
      </c>
      <c r="AL81" s="634">
        <f>AB81+AG81</f>
        <v>0</v>
      </c>
      <c r="AM81" s="596">
        <f>AC81+AH81</f>
        <v>0</v>
      </c>
      <c r="AN81" s="597">
        <f t="shared" si="70"/>
        <v>0</v>
      </c>
      <c r="AO81" s="598"/>
      <c r="AP81" s="598"/>
      <c r="AQ81" s="651"/>
      <c r="AR81" s="600"/>
      <c r="AS81" s="593">
        <f t="shared" si="71"/>
        <v>0</v>
      </c>
      <c r="AT81" s="633">
        <f>AJ81+AO81</f>
        <v>0</v>
      </c>
      <c r="AU81" s="633">
        <f>AK81+AP81</f>
        <v>0</v>
      </c>
      <c r="AV81" s="634">
        <f>AL81+AQ81</f>
        <v>0</v>
      </c>
      <c r="AW81" s="596">
        <f>AM81+AR81</f>
        <v>0</v>
      </c>
    </row>
    <row r="82" spans="1:49" s="362" customFormat="1" ht="12.75" customHeight="1" hidden="1">
      <c r="A82" s="361"/>
      <c r="B82" s="577">
        <v>855</v>
      </c>
      <c r="C82" s="446"/>
      <c r="D82" s="578" t="s">
        <v>207</v>
      </c>
      <c r="E82" s="579">
        <f t="shared" si="3"/>
        <v>0</v>
      </c>
      <c r="F82" s="455">
        <f aca="true" t="shared" si="86" ref="F82:I83">F83</f>
        <v>0</v>
      </c>
      <c r="G82" s="455">
        <f t="shared" si="86"/>
        <v>0</v>
      </c>
      <c r="H82" s="629">
        <f t="shared" si="86"/>
        <v>0</v>
      </c>
      <c r="I82" s="456">
        <f t="shared" si="86"/>
        <v>0</v>
      </c>
      <c r="J82" s="580">
        <f t="shared" si="47"/>
        <v>0</v>
      </c>
      <c r="K82" s="452">
        <f aca="true" t="shared" si="87" ref="K82:Z83">K83</f>
        <v>0</v>
      </c>
      <c r="L82" s="452">
        <f t="shared" si="87"/>
        <v>0</v>
      </c>
      <c r="M82" s="453">
        <f t="shared" si="87"/>
        <v>0</v>
      </c>
      <c r="N82" s="454">
        <f t="shared" si="87"/>
        <v>0</v>
      </c>
      <c r="O82" s="579">
        <f t="shared" si="48"/>
        <v>0</v>
      </c>
      <c r="P82" s="455">
        <f t="shared" si="87"/>
        <v>0</v>
      </c>
      <c r="Q82" s="455">
        <f t="shared" si="87"/>
        <v>0</v>
      </c>
      <c r="R82" s="629">
        <f t="shared" si="87"/>
        <v>0</v>
      </c>
      <c r="S82" s="456">
        <f t="shared" si="87"/>
        <v>0</v>
      </c>
      <c r="T82" s="580">
        <f t="shared" si="66"/>
        <v>0</v>
      </c>
      <c r="U82" s="452">
        <f t="shared" si="87"/>
        <v>0</v>
      </c>
      <c r="V82" s="452">
        <f t="shared" si="87"/>
        <v>0</v>
      </c>
      <c r="W82" s="453">
        <f t="shared" si="87"/>
        <v>0</v>
      </c>
      <c r="X82" s="454">
        <f t="shared" si="87"/>
        <v>0</v>
      </c>
      <c r="Y82" s="579">
        <f t="shared" si="67"/>
        <v>0</v>
      </c>
      <c r="Z82" s="455">
        <f t="shared" si="87"/>
        <v>0</v>
      </c>
      <c r="AA82" s="455">
        <f aca="true" t="shared" si="88" ref="U82:AC83">AA83</f>
        <v>0</v>
      </c>
      <c r="AB82" s="629">
        <f t="shared" si="88"/>
        <v>0</v>
      </c>
      <c r="AC82" s="456">
        <f t="shared" si="88"/>
        <v>0</v>
      </c>
      <c r="AD82" s="580">
        <f t="shared" si="68"/>
        <v>0</v>
      </c>
      <c r="AE82" s="452">
        <f aca="true" t="shared" si="89" ref="AE82:AT83">AE83</f>
        <v>0</v>
      </c>
      <c r="AF82" s="452">
        <f t="shared" si="89"/>
        <v>0</v>
      </c>
      <c r="AG82" s="453">
        <f t="shared" si="89"/>
        <v>0</v>
      </c>
      <c r="AH82" s="454">
        <f t="shared" si="89"/>
        <v>0</v>
      </c>
      <c r="AI82" s="579">
        <f t="shared" si="69"/>
        <v>0</v>
      </c>
      <c r="AJ82" s="455">
        <f t="shared" si="89"/>
        <v>0</v>
      </c>
      <c r="AK82" s="455">
        <f t="shared" si="89"/>
        <v>0</v>
      </c>
      <c r="AL82" s="629">
        <f t="shared" si="89"/>
        <v>0</v>
      </c>
      <c r="AM82" s="456">
        <f t="shared" si="89"/>
        <v>0</v>
      </c>
      <c r="AN82" s="580">
        <f t="shared" si="70"/>
        <v>0</v>
      </c>
      <c r="AO82" s="452">
        <f t="shared" si="89"/>
        <v>0</v>
      </c>
      <c r="AP82" s="452">
        <f t="shared" si="89"/>
        <v>0</v>
      </c>
      <c r="AQ82" s="453">
        <f t="shared" si="89"/>
        <v>0</v>
      </c>
      <c r="AR82" s="454">
        <f t="shared" si="89"/>
        <v>0</v>
      </c>
      <c r="AS82" s="579">
        <f t="shared" si="71"/>
        <v>0</v>
      </c>
      <c r="AT82" s="455">
        <f t="shared" si="89"/>
        <v>0</v>
      </c>
      <c r="AU82" s="455">
        <f aca="true" t="shared" si="90" ref="AO82:AW83">AU83</f>
        <v>0</v>
      </c>
      <c r="AV82" s="629">
        <f t="shared" si="90"/>
        <v>0</v>
      </c>
      <c r="AW82" s="456">
        <f t="shared" si="90"/>
        <v>0</v>
      </c>
    </row>
    <row r="83" spans="1:49" s="360" customFormat="1" ht="20.25" customHeight="1" hidden="1">
      <c r="A83" s="350"/>
      <c r="B83" s="581">
        <v>85510</v>
      </c>
      <c r="C83" s="499"/>
      <c r="D83" s="582" t="s">
        <v>521</v>
      </c>
      <c r="E83" s="583">
        <f t="shared" si="3"/>
        <v>0</v>
      </c>
      <c r="F83" s="584">
        <f t="shared" si="86"/>
        <v>0</v>
      </c>
      <c r="G83" s="584"/>
      <c r="H83" s="535"/>
      <c r="I83" s="586"/>
      <c r="J83" s="587">
        <f t="shared" si="47"/>
        <v>0</v>
      </c>
      <c r="K83" s="588">
        <f t="shared" si="87"/>
        <v>0</v>
      </c>
      <c r="L83" s="588">
        <f t="shared" si="87"/>
        <v>0</v>
      </c>
      <c r="M83" s="649">
        <f t="shared" si="87"/>
        <v>0</v>
      </c>
      <c r="N83" s="590">
        <f t="shared" si="87"/>
        <v>0</v>
      </c>
      <c r="O83" s="583">
        <f t="shared" si="48"/>
        <v>0</v>
      </c>
      <c r="P83" s="584">
        <f t="shared" si="87"/>
        <v>0</v>
      </c>
      <c r="Q83" s="584">
        <f t="shared" si="87"/>
        <v>0</v>
      </c>
      <c r="R83" s="535">
        <f t="shared" si="87"/>
        <v>0</v>
      </c>
      <c r="S83" s="586">
        <f t="shared" si="87"/>
        <v>0</v>
      </c>
      <c r="T83" s="587">
        <f t="shared" si="66"/>
        <v>0</v>
      </c>
      <c r="U83" s="588">
        <f t="shared" si="88"/>
        <v>0</v>
      </c>
      <c r="V83" s="588">
        <f t="shared" si="88"/>
        <v>0</v>
      </c>
      <c r="W83" s="649">
        <f t="shared" si="88"/>
        <v>0</v>
      </c>
      <c r="X83" s="590">
        <f t="shared" si="88"/>
        <v>0</v>
      </c>
      <c r="Y83" s="583">
        <f t="shared" si="67"/>
        <v>0</v>
      </c>
      <c r="Z83" s="584">
        <f t="shared" si="88"/>
        <v>0</v>
      </c>
      <c r="AA83" s="584">
        <f t="shared" si="88"/>
        <v>0</v>
      </c>
      <c r="AB83" s="535">
        <f t="shared" si="88"/>
        <v>0</v>
      </c>
      <c r="AC83" s="586">
        <f t="shared" si="88"/>
        <v>0</v>
      </c>
      <c r="AD83" s="587">
        <f t="shared" si="68"/>
        <v>0</v>
      </c>
      <c r="AE83" s="588">
        <f t="shared" si="89"/>
        <v>0</v>
      </c>
      <c r="AF83" s="588">
        <f t="shared" si="89"/>
        <v>0</v>
      </c>
      <c r="AG83" s="649">
        <f t="shared" si="89"/>
        <v>0</v>
      </c>
      <c r="AH83" s="590">
        <f t="shared" si="89"/>
        <v>0</v>
      </c>
      <c r="AI83" s="583">
        <f t="shared" si="69"/>
        <v>0</v>
      </c>
      <c r="AJ83" s="584">
        <f t="shared" si="89"/>
        <v>0</v>
      </c>
      <c r="AK83" s="584">
        <f t="shared" si="89"/>
        <v>0</v>
      </c>
      <c r="AL83" s="535">
        <f t="shared" si="89"/>
        <v>0</v>
      </c>
      <c r="AM83" s="586">
        <f t="shared" si="89"/>
        <v>0</v>
      </c>
      <c r="AN83" s="587">
        <f t="shared" si="70"/>
        <v>0</v>
      </c>
      <c r="AO83" s="588">
        <f t="shared" si="90"/>
        <v>0</v>
      </c>
      <c r="AP83" s="588">
        <f t="shared" si="90"/>
        <v>0</v>
      </c>
      <c r="AQ83" s="649">
        <f t="shared" si="90"/>
        <v>0</v>
      </c>
      <c r="AR83" s="590">
        <f t="shared" si="90"/>
        <v>0</v>
      </c>
      <c r="AS83" s="583">
        <f t="shared" si="71"/>
        <v>0</v>
      </c>
      <c r="AT83" s="584">
        <f t="shared" si="90"/>
        <v>0</v>
      </c>
      <c r="AU83" s="584">
        <f t="shared" si="90"/>
        <v>0</v>
      </c>
      <c r="AV83" s="535">
        <f t="shared" si="90"/>
        <v>0</v>
      </c>
      <c r="AW83" s="586">
        <f t="shared" si="90"/>
        <v>0</v>
      </c>
    </row>
    <row r="84" spans="1:49" s="362" customFormat="1" ht="26.25" customHeight="1" hidden="1" thickBot="1">
      <c r="A84" s="361"/>
      <c r="B84" s="652">
        <v>6050</v>
      </c>
      <c r="C84" s="653" t="s">
        <v>639</v>
      </c>
      <c r="D84" s="654" t="s">
        <v>640</v>
      </c>
      <c r="E84" s="655">
        <f t="shared" si="3"/>
        <v>0</v>
      </c>
      <c r="F84" s="656">
        <v>0</v>
      </c>
      <c r="G84" s="656"/>
      <c r="H84" s="657"/>
      <c r="I84" s="658"/>
      <c r="J84" s="659">
        <f t="shared" si="47"/>
        <v>0</v>
      </c>
      <c r="K84" s="660"/>
      <c r="L84" s="660"/>
      <c r="M84" s="661"/>
      <c r="N84" s="662"/>
      <c r="O84" s="655">
        <f t="shared" si="48"/>
        <v>0</v>
      </c>
      <c r="P84" s="663">
        <f>F84+K84</f>
        <v>0</v>
      </c>
      <c r="Q84" s="663">
        <f>G84+L84</f>
        <v>0</v>
      </c>
      <c r="R84" s="664">
        <f>H84+M84</f>
        <v>0</v>
      </c>
      <c r="S84" s="658">
        <f>I84+N84</f>
        <v>0</v>
      </c>
      <c r="T84" s="659">
        <f t="shared" si="66"/>
        <v>0</v>
      </c>
      <c r="U84" s="660"/>
      <c r="V84" s="660"/>
      <c r="W84" s="661"/>
      <c r="X84" s="662"/>
      <c r="Y84" s="655">
        <f t="shared" si="67"/>
        <v>0</v>
      </c>
      <c r="Z84" s="663">
        <f>P84+U84</f>
        <v>0</v>
      </c>
      <c r="AA84" s="663">
        <f>Q84+V84</f>
        <v>0</v>
      </c>
      <c r="AB84" s="664">
        <f>R84+W84</f>
        <v>0</v>
      </c>
      <c r="AC84" s="658">
        <f>S84+X84</f>
        <v>0</v>
      </c>
      <c r="AD84" s="659">
        <f t="shared" si="68"/>
        <v>0</v>
      </c>
      <c r="AE84" s="660"/>
      <c r="AF84" s="660"/>
      <c r="AG84" s="661"/>
      <c r="AH84" s="662"/>
      <c r="AI84" s="655">
        <f t="shared" si="69"/>
        <v>0</v>
      </c>
      <c r="AJ84" s="663">
        <f>Z84+AE84</f>
        <v>0</v>
      </c>
      <c r="AK84" s="663">
        <f>AA84+AF84</f>
        <v>0</v>
      </c>
      <c r="AL84" s="664">
        <f>AB84+AG84</f>
        <v>0</v>
      </c>
      <c r="AM84" s="658">
        <f>AC84+AH84</f>
        <v>0</v>
      </c>
      <c r="AN84" s="659">
        <f t="shared" si="70"/>
        <v>0</v>
      </c>
      <c r="AO84" s="660"/>
      <c r="AP84" s="660"/>
      <c r="AQ84" s="661"/>
      <c r="AR84" s="662"/>
      <c r="AS84" s="655">
        <f t="shared" si="71"/>
        <v>0</v>
      </c>
      <c r="AT84" s="663">
        <f>AJ84+AO84</f>
        <v>0</v>
      </c>
      <c r="AU84" s="663">
        <f>AK84+AP84</f>
        <v>0</v>
      </c>
      <c r="AV84" s="664">
        <f>AL84+AQ84</f>
        <v>0</v>
      </c>
      <c r="AW84" s="658">
        <f>AM84+AR84</f>
        <v>0</v>
      </c>
    </row>
    <row r="85" spans="2:45" ht="14.25">
      <c r="B85" s="665"/>
      <c r="C85" s="665"/>
      <c r="D85" s="342"/>
      <c r="E85" s="342"/>
      <c r="J85" s="666"/>
      <c r="O85" s="342"/>
      <c r="T85" s="666"/>
      <c r="Y85" s="342"/>
      <c r="AD85" s="666"/>
      <c r="AI85" s="342"/>
      <c r="AN85" s="666"/>
      <c r="AS85" s="342"/>
    </row>
    <row r="86" spans="2:45" ht="14.25">
      <c r="B86" s="668"/>
      <c r="C86" s="668"/>
      <c r="D86" s="388"/>
      <c r="E86" s="388"/>
      <c r="J86" s="669"/>
      <c r="O86" s="388"/>
      <c r="T86" s="669"/>
      <c r="Y86" s="388"/>
      <c r="AD86" s="669"/>
      <c r="AI86" s="388"/>
      <c r="AN86" s="669"/>
      <c r="AS86" s="388"/>
    </row>
    <row r="87" spans="1:49" s="371" customFormat="1" ht="12.75">
      <c r="A87" s="345"/>
      <c r="B87" s="378"/>
      <c r="C87" s="378"/>
      <c r="D87" s="388"/>
      <c r="E87" s="388"/>
      <c r="F87" s="670"/>
      <c r="G87" s="670"/>
      <c r="H87" s="670"/>
      <c r="I87" s="670"/>
      <c r="J87" s="669"/>
      <c r="K87" s="671"/>
      <c r="L87" s="671"/>
      <c r="M87" s="671"/>
      <c r="N87" s="671"/>
      <c r="O87" s="388"/>
      <c r="P87" s="670"/>
      <c r="Q87" s="670"/>
      <c r="R87" s="670"/>
      <c r="S87" s="670"/>
      <c r="T87" s="669"/>
      <c r="U87" s="671"/>
      <c r="V87" s="671"/>
      <c r="W87" s="671"/>
      <c r="X87" s="671"/>
      <c r="Y87" s="388"/>
      <c r="Z87" s="670"/>
      <c r="AA87" s="670"/>
      <c r="AB87" s="670"/>
      <c r="AC87" s="670"/>
      <c r="AD87" s="669"/>
      <c r="AE87" s="671"/>
      <c r="AF87" s="671"/>
      <c r="AG87" s="671"/>
      <c r="AH87" s="671"/>
      <c r="AI87" s="388"/>
      <c r="AJ87" s="670"/>
      <c r="AK87" s="670"/>
      <c r="AL87" s="670"/>
      <c r="AM87" s="670"/>
      <c r="AN87" s="669"/>
      <c r="AO87" s="671"/>
      <c r="AP87" s="671"/>
      <c r="AQ87" s="671"/>
      <c r="AR87" s="671"/>
      <c r="AS87" s="388"/>
      <c r="AT87" s="670"/>
      <c r="AU87" s="670"/>
      <c r="AV87" s="670"/>
      <c r="AW87" s="670"/>
    </row>
    <row r="88" spans="1:49" s="371" customFormat="1" ht="12.75">
      <c r="A88" s="345"/>
      <c r="B88" s="378"/>
      <c r="C88" s="378"/>
      <c r="D88" s="672"/>
      <c r="E88" s="672"/>
      <c r="F88" s="670"/>
      <c r="G88" s="670"/>
      <c r="H88" s="670"/>
      <c r="I88" s="670"/>
      <c r="J88" s="673"/>
      <c r="K88" s="671"/>
      <c r="L88" s="671"/>
      <c r="M88" s="671"/>
      <c r="N88" s="671"/>
      <c r="O88" s="672"/>
      <c r="P88" s="670"/>
      <c r="Q88" s="670"/>
      <c r="R88" s="670"/>
      <c r="S88" s="670"/>
      <c r="T88" s="673"/>
      <c r="U88" s="671"/>
      <c r="V88" s="671"/>
      <c r="W88" s="671"/>
      <c r="X88" s="671"/>
      <c r="Y88" s="672"/>
      <c r="Z88" s="670"/>
      <c r="AA88" s="670"/>
      <c r="AB88" s="670"/>
      <c r="AC88" s="670"/>
      <c r="AD88" s="673"/>
      <c r="AE88" s="671"/>
      <c r="AF88" s="671"/>
      <c r="AG88" s="671"/>
      <c r="AH88" s="671"/>
      <c r="AI88" s="672"/>
      <c r="AJ88" s="670"/>
      <c r="AK88" s="670"/>
      <c r="AL88" s="670"/>
      <c r="AM88" s="670"/>
      <c r="AN88" s="673"/>
      <c r="AO88" s="671"/>
      <c r="AP88" s="671"/>
      <c r="AQ88" s="671"/>
      <c r="AR88" s="671"/>
      <c r="AS88" s="672"/>
      <c r="AT88" s="670"/>
      <c r="AU88" s="670"/>
      <c r="AV88" s="670"/>
      <c r="AW88" s="670"/>
    </row>
    <row r="89" spans="1:49" s="371" customFormat="1" ht="12.75">
      <c r="A89" s="345"/>
      <c r="B89" s="378"/>
      <c r="C89" s="378"/>
      <c r="D89" s="388"/>
      <c r="E89" s="388"/>
      <c r="F89" s="670"/>
      <c r="G89" s="670"/>
      <c r="H89" s="670"/>
      <c r="I89" s="670"/>
      <c r="J89" s="669"/>
      <c r="K89" s="671"/>
      <c r="L89" s="671"/>
      <c r="M89" s="671"/>
      <c r="N89" s="671"/>
      <c r="O89" s="388"/>
      <c r="P89" s="670"/>
      <c r="Q89" s="670"/>
      <c r="R89" s="670"/>
      <c r="S89" s="670"/>
      <c r="T89" s="669"/>
      <c r="U89" s="671"/>
      <c r="V89" s="671"/>
      <c r="W89" s="671"/>
      <c r="X89" s="671"/>
      <c r="Y89" s="388"/>
      <c r="Z89" s="670"/>
      <c r="AA89" s="670"/>
      <c r="AB89" s="670"/>
      <c r="AC89" s="670"/>
      <c r="AD89" s="669"/>
      <c r="AE89" s="671"/>
      <c r="AF89" s="671"/>
      <c r="AG89" s="671"/>
      <c r="AH89" s="671"/>
      <c r="AI89" s="388"/>
      <c r="AJ89" s="670"/>
      <c r="AK89" s="670"/>
      <c r="AL89" s="670"/>
      <c r="AM89" s="670"/>
      <c r="AN89" s="669"/>
      <c r="AO89" s="671"/>
      <c r="AP89" s="671"/>
      <c r="AQ89" s="671"/>
      <c r="AR89" s="671"/>
      <c r="AS89" s="388"/>
      <c r="AT89" s="670"/>
      <c r="AU89" s="670"/>
      <c r="AV89" s="670"/>
      <c r="AW89" s="670"/>
    </row>
    <row r="91" spans="1:45" ht="12.75">
      <c r="A91" s="372"/>
      <c r="D91" s="674"/>
      <c r="E91" s="674"/>
      <c r="J91" s="675"/>
      <c r="O91" s="674"/>
      <c r="T91" s="675"/>
      <c r="Y91" s="674"/>
      <c r="AD91" s="675"/>
      <c r="AI91" s="674"/>
      <c r="AN91" s="675"/>
      <c r="AS91" s="674"/>
    </row>
    <row r="92" spans="1:49" s="371" customFormat="1" ht="12.75">
      <c r="A92" s="345"/>
      <c r="B92" s="378"/>
      <c r="C92" s="378"/>
      <c r="D92" s="676"/>
      <c r="E92" s="676"/>
      <c r="F92" s="670"/>
      <c r="G92" s="670"/>
      <c r="H92" s="670"/>
      <c r="I92" s="670"/>
      <c r="J92" s="677"/>
      <c r="K92" s="671"/>
      <c r="L92" s="671"/>
      <c r="M92" s="671"/>
      <c r="N92" s="671"/>
      <c r="O92" s="676"/>
      <c r="P92" s="670"/>
      <c r="Q92" s="670"/>
      <c r="R92" s="670"/>
      <c r="S92" s="670"/>
      <c r="T92" s="677"/>
      <c r="U92" s="671"/>
      <c r="V92" s="671"/>
      <c r="W92" s="671"/>
      <c r="X92" s="671"/>
      <c r="Y92" s="676"/>
      <c r="Z92" s="670"/>
      <c r="AA92" s="670"/>
      <c r="AB92" s="670"/>
      <c r="AC92" s="670"/>
      <c r="AD92" s="677"/>
      <c r="AE92" s="671"/>
      <c r="AF92" s="671"/>
      <c r="AG92" s="671"/>
      <c r="AH92" s="671"/>
      <c r="AI92" s="676"/>
      <c r="AJ92" s="670"/>
      <c r="AK92" s="670"/>
      <c r="AL92" s="670"/>
      <c r="AM92" s="670"/>
      <c r="AN92" s="677"/>
      <c r="AO92" s="671"/>
      <c r="AP92" s="671"/>
      <c r="AQ92" s="671"/>
      <c r="AR92" s="671"/>
      <c r="AS92" s="676"/>
      <c r="AT92" s="670"/>
      <c r="AU92" s="670"/>
      <c r="AV92" s="670"/>
      <c r="AW92" s="670"/>
    </row>
    <row r="93" spans="1:49" s="371" customFormat="1" ht="12.75">
      <c r="A93" s="345"/>
      <c r="B93" s="378"/>
      <c r="C93" s="378"/>
      <c r="D93" s="670"/>
      <c r="E93" s="670"/>
      <c r="F93" s="670"/>
      <c r="G93" s="670"/>
      <c r="H93" s="670"/>
      <c r="I93" s="670"/>
      <c r="J93" s="678"/>
      <c r="K93" s="671"/>
      <c r="L93" s="671"/>
      <c r="M93" s="671"/>
      <c r="N93" s="671"/>
      <c r="O93" s="670"/>
      <c r="P93" s="670"/>
      <c r="Q93" s="670"/>
      <c r="R93" s="670"/>
      <c r="S93" s="670"/>
      <c r="T93" s="678"/>
      <c r="U93" s="671"/>
      <c r="V93" s="671"/>
      <c r="W93" s="671"/>
      <c r="X93" s="671"/>
      <c r="Y93" s="670"/>
      <c r="Z93" s="670"/>
      <c r="AA93" s="670"/>
      <c r="AB93" s="670"/>
      <c r="AC93" s="670"/>
      <c r="AD93" s="678"/>
      <c r="AE93" s="671"/>
      <c r="AF93" s="671"/>
      <c r="AG93" s="671"/>
      <c r="AH93" s="671"/>
      <c r="AI93" s="670"/>
      <c r="AJ93" s="670"/>
      <c r="AK93" s="670"/>
      <c r="AL93" s="670"/>
      <c r="AM93" s="670"/>
      <c r="AN93" s="678"/>
      <c r="AO93" s="671"/>
      <c r="AP93" s="671"/>
      <c r="AQ93" s="671"/>
      <c r="AR93" s="671"/>
      <c r="AS93" s="670"/>
      <c r="AT93" s="670"/>
      <c r="AU93" s="670"/>
      <c r="AV93" s="670"/>
      <c r="AW93" s="670"/>
    </row>
    <row r="94" spans="4:45" ht="12.75">
      <c r="D94" s="676"/>
      <c r="E94" s="676"/>
      <c r="J94" s="677"/>
      <c r="O94" s="676"/>
      <c r="T94" s="677"/>
      <c r="Y94" s="676"/>
      <c r="AD94" s="677"/>
      <c r="AI94" s="676"/>
      <c r="AN94" s="677"/>
      <c r="AS94" s="676"/>
    </row>
    <row r="95" spans="4:45" ht="12.75">
      <c r="D95" s="679"/>
      <c r="E95" s="679"/>
      <c r="J95" s="680"/>
      <c r="O95" s="679"/>
      <c r="T95" s="680"/>
      <c r="Y95" s="679"/>
      <c r="AD95" s="680"/>
      <c r="AI95" s="679"/>
      <c r="AN95" s="680"/>
      <c r="AS95" s="679"/>
    </row>
    <row r="96" spans="1:45" ht="12.75">
      <c r="A96" s="373"/>
      <c r="B96" s="670"/>
      <c r="C96" s="670"/>
      <c r="D96" s="679"/>
      <c r="E96" s="679"/>
      <c r="J96" s="680"/>
      <c r="O96" s="679"/>
      <c r="T96" s="680"/>
      <c r="Y96" s="679"/>
      <c r="AD96" s="680"/>
      <c r="AI96" s="679"/>
      <c r="AN96" s="680"/>
      <c r="AS96" s="679"/>
    </row>
    <row r="97" spans="1:49" s="374" customFormat="1" ht="15.75">
      <c r="A97" s="345"/>
      <c r="B97" s="378"/>
      <c r="C97" s="378"/>
      <c r="D97" s="679"/>
      <c r="E97" s="679"/>
      <c r="F97" s="681"/>
      <c r="G97" s="681"/>
      <c r="H97" s="681"/>
      <c r="I97" s="681"/>
      <c r="J97" s="680"/>
      <c r="K97" s="682"/>
      <c r="L97" s="682"/>
      <c r="M97" s="682"/>
      <c r="N97" s="682"/>
      <c r="O97" s="679"/>
      <c r="P97" s="681"/>
      <c r="Q97" s="681"/>
      <c r="R97" s="681"/>
      <c r="S97" s="681"/>
      <c r="T97" s="680"/>
      <c r="U97" s="682"/>
      <c r="V97" s="682"/>
      <c r="W97" s="682"/>
      <c r="X97" s="682"/>
      <c r="Y97" s="679"/>
      <c r="Z97" s="681"/>
      <c r="AA97" s="681"/>
      <c r="AB97" s="681"/>
      <c r="AC97" s="681"/>
      <c r="AD97" s="680"/>
      <c r="AE97" s="682"/>
      <c r="AF97" s="682"/>
      <c r="AG97" s="682"/>
      <c r="AH97" s="682"/>
      <c r="AI97" s="679"/>
      <c r="AJ97" s="681"/>
      <c r="AK97" s="681"/>
      <c r="AL97" s="681"/>
      <c r="AM97" s="681"/>
      <c r="AN97" s="680"/>
      <c r="AO97" s="682"/>
      <c r="AP97" s="682"/>
      <c r="AQ97" s="682"/>
      <c r="AR97" s="682"/>
      <c r="AS97" s="679"/>
      <c r="AT97" s="681"/>
      <c r="AU97" s="681"/>
      <c r="AV97" s="681"/>
      <c r="AW97" s="681"/>
    </row>
    <row r="98" spans="1:49" s="371" customFormat="1" ht="12.75">
      <c r="A98" s="345"/>
      <c r="B98" s="378"/>
      <c r="C98" s="378"/>
      <c r="D98" s="388"/>
      <c r="E98" s="388"/>
      <c r="F98" s="670"/>
      <c r="G98" s="670"/>
      <c r="H98" s="670"/>
      <c r="I98" s="670"/>
      <c r="J98" s="669"/>
      <c r="K98" s="671"/>
      <c r="L98" s="671"/>
      <c r="M98" s="671"/>
      <c r="N98" s="671"/>
      <c r="O98" s="388"/>
      <c r="P98" s="670"/>
      <c r="Q98" s="670"/>
      <c r="R98" s="670"/>
      <c r="S98" s="670"/>
      <c r="T98" s="669"/>
      <c r="U98" s="671"/>
      <c r="V98" s="671"/>
      <c r="W98" s="671"/>
      <c r="X98" s="671"/>
      <c r="Y98" s="388"/>
      <c r="Z98" s="670"/>
      <c r="AA98" s="670"/>
      <c r="AB98" s="670"/>
      <c r="AC98" s="670"/>
      <c r="AD98" s="669"/>
      <c r="AE98" s="671"/>
      <c r="AF98" s="671"/>
      <c r="AG98" s="671"/>
      <c r="AH98" s="671"/>
      <c r="AI98" s="388"/>
      <c r="AJ98" s="670"/>
      <c r="AK98" s="670"/>
      <c r="AL98" s="670"/>
      <c r="AM98" s="670"/>
      <c r="AN98" s="669"/>
      <c r="AO98" s="671"/>
      <c r="AP98" s="671"/>
      <c r="AQ98" s="671"/>
      <c r="AR98" s="671"/>
      <c r="AS98" s="388"/>
      <c r="AT98" s="670"/>
      <c r="AU98" s="670"/>
      <c r="AV98" s="670"/>
      <c r="AW98" s="670"/>
    </row>
    <row r="99" spans="1:49" s="371" customFormat="1" ht="15.75">
      <c r="A99" s="375"/>
      <c r="B99" s="681"/>
      <c r="C99" s="681"/>
      <c r="D99" s="683"/>
      <c r="E99" s="683"/>
      <c r="F99" s="670"/>
      <c r="G99" s="670"/>
      <c r="H99" s="670"/>
      <c r="I99" s="670"/>
      <c r="J99" s="684"/>
      <c r="K99" s="671"/>
      <c r="L99" s="671"/>
      <c r="M99" s="671"/>
      <c r="N99" s="671"/>
      <c r="O99" s="683"/>
      <c r="P99" s="670"/>
      <c r="Q99" s="670"/>
      <c r="R99" s="670"/>
      <c r="S99" s="670"/>
      <c r="T99" s="684"/>
      <c r="U99" s="671"/>
      <c r="V99" s="671"/>
      <c r="W99" s="671"/>
      <c r="X99" s="671"/>
      <c r="Y99" s="683"/>
      <c r="Z99" s="670"/>
      <c r="AA99" s="670"/>
      <c r="AB99" s="670"/>
      <c r="AC99" s="670"/>
      <c r="AD99" s="684"/>
      <c r="AE99" s="671"/>
      <c r="AF99" s="671"/>
      <c r="AG99" s="671"/>
      <c r="AH99" s="671"/>
      <c r="AI99" s="683"/>
      <c r="AJ99" s="670"/>
      <c r="AK99" s="670"/>
      <c r="AL99" s="670"/>
      <c r="AM99" s="670"/>
      <c r="AN99" s="684"/>
      <c r="AO99" s="671"/>
      <c r="AP99" s="671"/>
      <c r="AQ99" s="671"/>
      <c r="AR99" s="671"/>
      <c r="AS99" s="683"/>
      <c r="AT99" s="670"/>
      <c r="AU99" s="670"/>
      <c r="AV99" s="670"/>
      <c r="AW99" s="670"/>
    </row>
    <row r="100" spans="1:49" s="371" customFormat="1" ht="12.75">
      <c r="A100" s="345"/>
      <c r="B100" s="378"/>
      <c r="C100" s="378"/>
      <c r="D100" s="388"/>
      <c r="E100" s="388"/>
      <c r="F100" s="670"/>
      <c r="G100" s="670"/>
      <c r="H100" s="670"/>
      <c r="I100" s="670"/>
      <c r="J100" s="669"/>
      <c r="K100" s="671"/>
      <c r="L100" s="671"/>
      <c r="M100" s="671"/>
      <c r="N100" s="671"/>
      <c r="O100" s="388"/>
      <c r="P100" s="670"/>
      <c r="Q100" s="670"/>
      <c r="R100" s="670"/>
      <c r="S100" s="670"/>
      <c r="T100" s="669"/>
      <c r="U100" s="671"/>
      <c r="V100" s="671"/>
      <c r="W100" s="671"/>
      <c r="X100" s="671"/>
      <c r="Y100" s="388"/>
      <c r="Z100" s="670"/>
      <c r="AA100" s="670"/>
      <c r="AB100" s="670"/>
      <c r="AC100" s="670"/>
      <c r="AD100" s="669"/>
      <c r="AE100" s="671"/>
      <c r="AF100" s="671"/>
      <c r="AG100" s="671"/>
      <c r="AH100" s="671"/>
      <c r="AI100" s="388"/>
      <c r="AJ100" s="670"/>
      <c r="AK100" s="670"/>
      <c r="AL100" s="670"/>
      <c r="AM100" s="670"/>
      <c r="AN100" s="669"/>
      <c r="AO100" s="671"/>
      <c r="AP100" s="671"/>
      <c r="AQ100" s="671"/>
      <c r="AR100" s="671"/>
      <c r="AS100" s="388"/>
      <c r="AT100" s="670"/>
      <c r="AU100" s="670"/>
      <c r="AV100" s="670"/>
      <c r="AW100" s="670"/>
    </row>
    <row r="101" spans="4:45" ht="12.75">
      <c r="D101" s="388"/>
      <c r="E101" s="388"/>
      <c r="J101" s="669"/>
      <c r="O101" s="388"/>
      <c r="T101" s="669"/>
      <c r="Y101" s="388"/>
      <c r="AD101" s="669"/>
      <c r="AI101" s="388"/>
      <c r="AN101" s="669"/>
      <c r="AS101" s="388"/>
    </row>
    <row r="102" spans="4:45" ht="12.75">
      <c r="D102" s="388"/>
      <c r="E102" s="388"/>
      <c r="J102" s="669"/>
      <c r="O102" s="388"/>
      <c r="T102" s="669"/>
      <c r="Y102" s="388"/>
      <c r="AD102" s="669"/>
      <c r="AI102" s="388"/>
      <c r="AN102" s="669"/>
      <c r="AS102" s="388"/>
    </row>
    <row r="103" spans="2:45" ht="12.75">
      <c r="B103" s="670"/>
      <c r="C103" s="670"/>
      <c r="D103" s="676"/>
      <c r="E103" s="676"/>
      <c r="J103" s="677"/>
      <c r="O103" s="676"/>
      <c r="T103" s="677"/>
      <c r="Y103" s="676"/>
      <c r="AD103" s="677"/>
      <c r="AI103" s="676"/>
      <c r="AN103" s="677"/>
      <c r="AS103" s="676"/>
    </row>
    <row r="104" spans="4:45" ht="12.75">
      <c r="D104" s="342"/>
      <c r="E104" s="342"/>
      <c r="J104" s="666"/>
      <c r="O104" s="342"/>
      <c r="T104" s="666"/>
      <c r="Y104" s="342"/>
      <c r="AD104" s="666"/>
      <c r="AI104" s="342"/>
      <c r="AN104" s="666"/>
      <c r="AS104" s="342"/>
    </row>
    <row r="105" spans="4:45" ht="12.75">
      <c r="D105" s="342"/>
      <c r="E105" s="342"/>
      <c r="J105" s="666"/>
      <c r="O105" s="342"/>
      <c r="T105" s="666"/>
      <c r="Y105" s="342"/>
      <c r="AD105" s="666"/>
      <c r="AI105" s="342"/>
      <c r="AN105" s="666"/>
      <c r="AS105" s="342"/>
    </row>
    <row r="106" spans="2:45" ht="12.75">
      <c r="B106" s="685"/>
      <c r="C106" s="685"/>
      <c r="D106" s="342"/>
      <c r="E106" s="342"/>
      <c r="J106" s="666"/>
      <c r="O106" s="342"/>
      <c r="T106" s="666"/>
      <c r="Y106" s="342"/>
      <c r="AD106" s="666"/>
      <c r="AI106" s="342"/>
      <c r="AN106" s="666"/>
      <c r="AS106" s="342"/>
    </row>
    <row r="117" ht="12.75">
      <c r="A117" s="376"/>
    </row>
    <row r="118" spans="1:49" ht="12.75">
      <c r="A118" s="376"/>
      <c r="F118" s="685"/>
      <c r="G118" s="685"/>
      <c r="H118" s="685"/>
      <c r="I118" s="685"/>
      <c r="P118" s="685"/>
      <c r="Q118" s="685"/>
      <c r="R118" s="685"/>
      <c r="S118" s="685"/>
      <c r="Z118" s="685"/>
      <c r="AA118" s="685"/>
      <c r="AB118" s="685"/>
      <c r="AC118" s="685"/>
      <c r="AJ118" s="685"/>
      <c r="AK118" s="685"/>
      <c r="AL118" s="685"/>
      <c r="AM118" s="685"/>
      <c r="AT118" s="685"/>
      <c r="AU118" s="685"/>
      <c r="AV118" s="685"/>
      <c r="AW118" s="685"/>
    </row>
    <row r="119" spans="1:49" ht="12.75">
      <c r="A119" s="376"/>
      <c r="F119" s="685"/>
      <c r="G119" s="685"/>
      <c r="H119" s="685"/>
      <c r="I119" s="685"/>
      <c r="P119" s="685"/>
      <c r="Q119" s="685"/>
      <c r="R119" s="685"/>
      <c r="S119" s="685"/>
      <c r="Z119" s="685"/>
      <c r="AA119" s="685"/>
      <c r="AB119" s="685"/>
      <c r="AC119" s="685"/>
      <c r="AJ119" s="685"/>
      <c r="AK119" s="685"/>
      <c r="AL119" s="685"/>
      <c r="AM119" s="685"/>
      <c r="AT119" s="685"/>
      <c r="AU119" s="685"/>
      <c r="AV119" s="685"/>
      <c r="AW119" s="685"/>
    </row>
    <row r="120" spans="1:49" ht="12.75">
      <c r="A120" s="376"/>
      <c r="F120" s="685"/>
      <c r="G120" s="685"/>
      <c r="H120" s="685"/>
      <c r="I120" s="685"/>
      <c r="P120" s="685"/>
      <c r="Q120" s="685"/>
      <c r="R120" s="685"/>
      <c r="S120" s="685"/>
      <c r="Z120" s="685"/>
      <c r="AA120" s="685"/>
      <c r="AB120" s="685"/>
      <c r="AC120" s="685"/>
      <c r="AJ120" s="685"/>
      <c r="AK120" s="685"/>
      <c r="AL120" s="685"/>
      <c r="AM120" s="685"/>
      <c r="AT120" s="685"/>
      <c r="AU120" s="685"/>
      <c r="AV120" s="685"/>
      <c r="AW120" s="685"/>
    </row>
    <row r="121" spans="1:49" ht="12.75">
      <c r="A121" s="376"/>
      <c r="F121" s="685"/>
      <c r="G121" s="685"/>
      <c r="H121" s="685"/>
      <c r="I121" s="685"/>
      <c r="P121" s="685"/>
      <c r="Q121" s="685"/>
      <c r="R121" s="685"/>
      <c r="S121" s="685"/>
      <c r="Z121" s="685"/>
      <c r="AA121" s="685"/>
      <c r="AB121" s="685"/>
      <c r="AC121" s="685"/>
      <c r="AJ121" s="685"/>
      <c r="AK121" s="685"/>
      <c r="AL121" s="685"/>
      <c r="AM121" s="685"/>
      <c r="AT121" s="685"/>
      <c r="AU121" s="685"/>
      <c r="AV121" s="685"/>
      <c r="AW121" s="685"/>
    </row>
    <row r="122" spans="1:49" ht="12.75">
      <c r="A122" s="376"/>
      <c r="F122" s="685"/>
      <c r="G122" s="685"/>
      <c r="H122" s="685"/>
      <c r="I122" s="685"/>
      <c r="P122" s="685"/>
      <c r="Q122" s="685"/>
      <c r="R122" s="685"/>
      <c r="S122" s="685"/>
      <c r="Z122" s="685"/>
      <c r="AA122" s="685"/>
      <c r="AB122" s="685"/>
      <c r="AC122" s="685"/>
      <c r="AJ122" s="685"/>
      <c r="AK122" s="685"/>
      <c r="AL122" s="685"/>
      <c r="AM122" s="685"/>
      <c r="AT122" s="685"/>
      <c r="AU122" s="685"/>
      <c r="AV122" s="685"/>
      <c r="AW122" s="685"/>
    </row>
    <row r="123" spans="1:49" ht="12.75">
      <c r="A123" s="376"/>
      <c r="F123" s="685"/>
      <c r="G123" s="685"/>
      <c r="H123" s="685"/>
      <c r="I123" s="685"/>
      <c r="P123" s="685"/>
      <c r="Q123" s="685"/>
      <c r="R123" s="685"/>
      <c r="S123" s="685"/>
      <c r="Z123" s="685"/>
      <c r="AA123" s="685"/>
      <c r="AB123" s="685"/>
      <c r="AC123" s="685"/>
      <c r="AJ123" s="685"/>
      <c r="AK123" s="685"/>
      <c r="AL123" s="685"/>
      <c r="AM123" s="685"/>
      <c r="AT123" s="685"/>
      <c r="AU123" s="685"/>
      <c r="AV123" s="685"/>
      <c r="AW123" s="685"/>
    </row>
  </sheetData>
  <sheetProtection/>
  <mergeCells count="56">
    <mergeCell ref="AV12:AV13"/>
    <mergeCell ref="AW12:AW13"/>
    <mergeCell ref="AN11:AN13"/>
    <mergeCell ref="AO11:AQ11"/>
    <mergeCell ref="AS11:AS13"/>
    <mergeCell ref="AT11:AV11"/>
    <mergeCell ref="AO12:AO13"/>
    <mergeCell ref="AP12:AP13"/>
    <mergeCell ref="AQ12:AQ13"/>
    <mergeCell ref="AR12:AR13"/>
    <mergeCell ref="AT12:AT13"/>
    <mergeCell ref="AU12:AU13"/>
    <mergeCell ref="M12:M13"/>
    <mergeCell ref="O11:O13"/>
    <mergeCell ref="Z12:Z13"/>
    <mergeCell ref="AA12:AA13"/>
    <mergeCell ref="P12:P13"/>
    <mergeCell ref="Q12:Q13"/>
    <mergeCell ref="S12:S13"/>
    <mergeCell ref="AJ12:AJ13"/>
    <mergeCell ref="C11:C13"/>
    <mergeCell ref="D11:D13"/>
    <mergeCell ref="E11:E13"/>
    <mergeCell ref="F11:H11"/>
    <mergeCell ref="F12:F13"/>
    <mergeCell ref="I12:I13"/>
    <mergeCell ref="H12:H13"/>
    <mergeCell ref="G12:G13"/>
    <mergeCell ref="J11:J13"/>
    <mergeCell ref="K11:M11"/>
    <mergeCell ref="AK12:AK13"/>
    <mergeCell ref="K12:K13"/>
    <mergeCell ref="N12:N13"/>
    <mergeCell ref="R12:R13"/>
    <mergeCell ref="L12:L13"/>
    <mergeCell ref="AB12:AB13"/>
    <mergeCell ref="AC12:AC13"/>
    <mergeCell ref="T11:T13"/>
    <mergeCell ref="P11:R11"/>
    <mergeCell ref="U11:W11"/>
    <mergeCell ref="Y11:Y13"/>
    <mergeCell ref="Z11:AB11"/>
    <mergeCell ref="U12:U13"/>
    <mergeCell ref="V12:V13"/>
    <mergeCell ref="W12:W13"/>
    <mergeCell ref="X12:X13"/>
    <mergeCell ref="AL12:AL13"/>
    <mergeCell ref="AM12:AM13"/>
    <mergeCell ref="AD11:AD13"/>
    <mergeCell ref="AE11:AG11"/>
    <mergeCell ref="AI11:AI13"/>
    <mergeCell ref="AJ11:AL11"/>
    <mergeCell ref="AE12:AE13"/>
    <mergeCell ref="AF12:AF13"/>
    <mergeCell ref="AG12:AG13"/>
    <mergeCell ref="AH12:AH13"/>
  </mergeCells>
  <printOptions horizontalCentered="1"/>
  <pageMargins left="0.2755905511811024" right="0.2755905511811024" top="0.4724409448818898" bottom="0.35433070866141736" header="0.5118110236220472" footer="0.1968503937007874"/>
  <pageSetup fitToHeight="0" horizontalDpi="600" verticalDpi="600" orientation="landscape" paperSize="9" r:id="rId1"/>
  <rowBreaks count="1" manualBreakCount="1">
    <brk id="38" min="1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Kinga Palkowska</dc:creator>
  <cp:keywords/>
  <dc:description/>
  <cp:lastModifiedBy>Magdalena Szczanowicz</cp:lastModifiedBy>
  <cp:lastPrinted>2022-06-14T08:13:44Z</cp:lastPrinted>
  <dcterms:created xsi:type="dcterms:W3CDTF">2015-12-21T12:47:50Z</dcterms:created>
  <dcterms:modified xsi:type="dcterms:W3CDTF">2022-09-05T11:55:13Z</dcterms:modified>
  <cp:category/>
  <cp:version/>
  <cp:contentType/>
  <cp:contentStatus/>
</cp:coreProperties>
</file>