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00" firstSheet="1" activeTab="1"/>
  </bookViews>
  <sheets>
    <sheet name="08.11.2014" sheetId="1" state="hidden" r:id="rId1"/>
    <sheet name="ZAŁĄCZNIK6" sheetId="2" r:id="rId2"/>
  </sheets>
  <definedNames>
    <definedName name="_xlnm.Print_Area" localSheetId="0">'08.11.2014'!$A$1:$H$369</definedName>
    <definedName name="_xlnm.Print_Area" localSheetId="1">'ZAŁĄCZNIK6'!$A$1:$K$30</definedName>
    <definedName name="_xlnm.Print_Titles" localSheetId="0">'08.11.2014'!$11:$16</definedName>
    <definedName name="_xlnm.Print_Titles" localSheetId="1">'ZAŁĄCZNIK6'!$B:$D,'ZAŁĄCZNIK6'!$11:$12</definedName>
    <definedName name="Z_B15945DE_76D9_4063_B8B6_1190BD75A441_.wvu.Cols" localSheetId="1" hidden="1">'ZAŁĄCZNIK6'!#REF!,'ZAŁĄCZNIK6'!#REF!</definedName>
    <definedName name="Z_B15945DE_76D9_4063_B8B6_1190BD75A441_.wvu.FilterData" localSheetId="1" hidden="1">'ZAŁĄCZNIK6'!$A$5:$A$30</definedName>
    <definedName name="Z_B15945DE_76D9_4063_B8B6_1190BD75A441_.wvu.PrintArea" localSheetId="0" hidden="1">'08.11.2014'!$A$1:$H$369</definedName>
    <definedName name="Z_B15945DE_76D9_4063_B8B6_1190BD75A441_.wvu.PrintArea" localSheetId="1" hidden="1">'ZAŁĄCZNIK6'!#REF!</definedName>
    <definedName name="Z_B15945DE_76D9_4063_B8B6_1190BD75A441_.wvu.PrintTitles" localSheetId="0" hidden="1">'08.11.2014'!$11:$16</definedName>
    <definedName name="Z_B15945DE_76D9_4063_B8B6_1190BD75A441_.wvu.PrintTitles" localSheetId="1" hidden="1">'ZAŁĄCZNIK6'!$11:$12</definedName>
    <definedName name="Z_B15945DE_76D9_4063_B8B6_1190BD75A441_.wvu.Rows" localSheetId="0" hidden="1">'08.11.2014'!$21:$23,'08.11.2014'!$27:$27,'08.11.2014'!$45:$48,'08.11.2014'!$63:$65,'08.11.2014'!$76:$81,'08.11.2014'!$99:$103,'08.11.2014'!$116:$117,'08.11.2014'!$128:$128,'08.11.2014'!$148:$148,'08.11.2014'!$172:$173,'08.11.2014'!$181:$182,'08.11.2014'!$186:$187,'08.11.2014'!$213:$213,'08.11.2014'!$233:$233,'08.11.2014'!$235:$236,'08.11.2014'!$251:$251,'08.11.2014'!$277:$285,'08.11.2014'!$295:$295,'08.11.2014'!$301:$301,'08.11.2014'!$311:$313,'08.11.2014'!$317:$319,'08.11.2014'!$323:$326,'08.11.2014'!$341:$342,'08.11.2014'!$346:$348,'08.11.2014'!$360:$362,'08.11.2014'!$367:$372</definedName>
    <definedName name="Z_B15945DE_76D9_4063_B8B6_1190BD75A441_.wvu.Rows" localSheetId="1" hidden="1">#VALUE!</definedName>
  </definedNames>
  <calcPr fullCalcOnLoad="1"/>
</workbook>
</file>

<file path=xl/sharedStrings.xml><?xml version="1.0" encoding="utf-8"?>
<sst xmlns="http://schemas.openxmlformats.org/spreadsheetml/2006/main" count="1164" uniqueCount="635">
  <si>
    <t>Doposażenie placu zabaw przy ul. Kadłubka w ławki i urzadzenia zabawowe</t>
  </si>
  <si>
    <t>Schroniska dla zwierząt</t>
  </si>
  <si>
    <t>Usługi Komunalne</t>
  </si>
  <si>
    <t>UK/P/002</t>
  </si>
  <si>
    <t>Schronisko dla zwierząt - zakupy inwestycyjne</t>
  </si>
  <si>
    <t>UK/P/004</t>
  </si>
  <si>
    <t>Budowa nowego schroniska dla zwierząt</t>
  </si>
  <si>
    <t>Oświetlenie ulic placów i dróg</t>
  </si>
  <si>
    <t>ZDM/P/003</t>
  </si>
  <si>
    <t>8.117.972,00 zł - samorządy (jednostki + granty)</t>
  </si>
  <si>
    <t>z dnia ……………………</t>
  </si>
  <si>
    <t>Budżet osiedli</t>
  </si>
  <si>
    <t>Granty</t>
  </si>
  <si>
    <t>-</t>
  </si>
  <si>
    <t>WYDATKI  MAJĄTKOWE</t>
  </si>
  <si>
    <t>samorządy</t>
  </si>
  <si>
    <t>w zł</t>
  </si>
  <si>
    <t>§</t>
  </si>
  <si>
    <t>Dz.</t>
  </si>
  <si>
    <t>Plan 2015 r.</t>
  </si>
  <si>
    <t>§ 605</t>
  </si>
  <si>
    <t xml:space="preserve">Ogrod Zoologiczny - przebudowa stawów i systemu przepustu wód powierzchniowych na terenie Nowego ZOO </t>
  </si>
  <si>
    <t>Palmiarnia Poznańska</t>
  </si>
  <si>
    <t>PALM/P/001</t>
  </si>
  <si>
    <t>ROLNICTWO I ŁOWIECTWO</t>
  </si>
  <si>
    <t>01008</t>
  </si>
  <si>
    <t>Melioracje wodne</t>
  </si>
  <si>
    <t>605</t>
  </si>
  <si>
    <t>K</t>
  </si>
  <si>
    <t>DGR/DGR/1</t>
  </si>
  <si>
    <t>Modernizacja przepompowni "Bielniki"</t>
  </si>
  <si>
    <t>TRANSPORT I ŁĄCZNOŚĆ</t>
  </si>
  <si>
    <t>Lokalny transport zbiorowy</t>
  </si>
  <si>
    <t>Zarząd Transportu Miejskiego</t>
  </si>
  <si>
    <t>GKM/ZTM/376</t>
  </si>
  <si>
    <t>Przebudowa węzła komunikacyjnego rondo Kaponiera</t>
  </si>
  <si>
    <t>ZTM/P/001</t>
  </si>
  <si>
    <t>Doposażenie placu zabaw przy ul. Kartuskiej</t>
  </si>
  <si>
    <t>JE_WIN/P/001</t>
  </si>
  <si>
    <t>Modernizacja Winiarskiego Centrum Rekreacyjno - Sportowego</t>
  </si>
  <si>
    <t>ZTM/P/003</t>
  </si>
  <si>
    <t>Zarząd Transportu Miejskiego - zakupy inwestycyjne</t>
  </si>
  <si>
    <t>ZTM/P/005</t>
  </si>
  <si>
    <t xml:space="preserve">Program "Centrum" - budowa przystankow wiedeńskich </t>
  </si>
  <si>
    <t>ZTM/P/006</t>
  </si>
  <si>
    <t xml:space="preserve">Budowa parkingu przy cmentarzu Junikowo </t>
  </si>
  <si>
    <t>ZTM/P/007</t>
  </si>
  <si>
    <t>Program "Poznań Rataje - Franowo" - modernizacja trasy tramwajowej ul. Kórnicka - os. Lecha - Rondo Żegrze - prace projektowe</t>
  </si>
  <si>
    <t>ZTM/P/011</t>
  </si>
  <si>
    <t>System ITS Poznań</t>
  </si>
  <si>
    <t>ZTM/P/013</t>
  </si>
  <si>
    <t>Przebudowa trasy tramwajowej w ul. Dąbrowskiego - dokumentacja studialna</t>
  </si>
  <si>
    <t>Drogi publiczne gminne</t>
  </si>
  <si>
    <t>Zarząd Dróg Miejskich</t>
  </si>
  <si>
    <t>ZDM/P/001</t>
  </si>
  <si>
    <t>Budowa chodników</t>
  </si>
  <si>
    <t>ZDM/P/004</t>
  </si>
  <si>
    <t xml:space="preserve">Budowa urządzeń do oczyszczania ścieków - wód opadowych, pochodzących z powierzchni ulic </t>
  </si>
  <si>
    <t>ZDM/P/006</t>
  </si>
  <si>
    <t>OGRODY BOTANICZNE I ZOOLOGICZNE ORAZ NATURALNE OBSZARY I OBIEKTY CHRONIONEJ PRZYRODY</t>
  </si>
  <si>
    <t>Ogrody botaniczne i zoologiczne</t>
  </si>
  <si>
    <t>ZOO</t>
  </si>
  <si>
    <t>ZOO/P/001</t>
  </si>
  <si>
    <t>Ogrod Zoologiczny - modernizacje</t>
  </si>
  <si>
    <t>ZOO/P/002</t>
  </si>
  <si>
    <t>Ogród Zoologiczny - zakupy inwestycyjne</t>
  </si>
  <si>
    <t>ZOO/P/003</t>
  </si>
  <si>
    <t>Rozbudowa sieci automatycznych toalet na terenie miasta Poznania</t>
  </si>
  <si>
    <t>OŚ/P/001</t>
  </si>
  <si>
    <t>Wartostrada - poznański ciąg pieszo-rowerowy</t>
  </si>
  <si>
    <t>GKM/GKM/566</t>
  </si>
  <si>
    <t>Zagospodarowanie podwórek komunalnych</t>
  </si>
  <si>
    <t>KULTURA I OCHRONA DZIEDZICTWA NARODOWEGO</t>
  </si>
  <si>
    <t>Domy i ośrodki kultury, świetlice i kluby</t>
  </si>
  <si>
    <t>KD/P/005</t>
  </si>
  <si>
    <t>Dom Kultury "Stokrotka" - modernizacje</t>
  </si>
  <si>
    <t xml:space="preserve">Galerie i biura wystaw artystycznych </t>
  </si>
  <si>
    <t>KD/P/015</t>
  </si>
  <si>
    <t>Galeria Miejska Arsenał - modernizacje</t>
  </si>
  <si>
    <t xml:space="preserve">Pozostałe instytucje kultury </t>
  </si>
  <si>
    <t>KD/P/014</t>
  </si>
  <si>
    <t>Wydawnictwo Miejskie Posnania - zakupy inwestycyjne</t>
  </si>
  <si>
    <t>Biblioteki</t>
  </si>
  <si>
    <t>KD/P/001</t>
  </si>
  <si>
    <t>Biblioteka Raczyńskich - zakupy inwestycyjne</t>
  </si>
  <si>
    <t>Muzea</t>
  </si>
  <si>
    <t>Muzeum Archeologiczne</t>
  </si>
  <si>
    <t>KD/P/006</t>
  </si>
  <si>
    <t>Muzeum Archeologiczne - modernizacje</t>
  </si>
  <si>
    <t>KD/P/007</t>
  </si>
  <si>
    <t>Muzeum Archeologiczne - zakupy inwestycyjne</t>
  </si>
  <si>
    <t>KD/P/013</t>
  </si>
  <si>
    <t>Wielkopolskie Muzeum Walk Niepodległościowych - zakupy inwestycyjne</t>
  </si>
  <si>
    <t>KP/KP/3</t>
  </si>
  <si>
    <t>Interaktywne Centrum Historii Ostrowa Tumskiego w Poznaniu - kolebki państwowości i chrześcijaństwa w Polsce</t>
  </si>
  <si>
    <t>KP/P/005</t>
  </si>
  <si>
    <t>Załącznik nr 4 do uchwały Nr …………………….</t>
  </si>
  <si>
    <t>RADY MIASTA POZNANIA</t>
  </si>
  <si>
    <t>Budowa boisk do piłki siatkowej plażowej na os. Lecha</t>
  </si>
  <si>
    <t>NM_OSZ/P/001</t>
  </si>
  <si>
    <t>Modernizacja infrastruktury przystankowej</t>
  </si>
  <si>
    <t>ZTM/P/002</t>
  </si>
  <si>
    <t xml:space="preserve">Odnowa infrastruktury torowo-sieciowej </t>
  </si>
  <si>
    <t>było N</t>
  </si>
  <si>
    <t>606</t>
  </si>
  <si>
    <t>Dokończenie budowy placu zabaw przy ul. Dojazd</t>
  </si>
  <si>
    <t>NM_GLS/NM_GLS/6</t>
  </si>
  <si>
    <t>Montaż słupów oświetleniowych na terenie OSIR Głuszyna oraz wykonanie instalacji elektrycznej</t>
  </si>
  <si>
    <t>NM_GLS/NM_GLS/7</t>
  </si>
  <si>
    <t>Wykonanie prac ziemnych i odwodnienie toru rowerowego poprzez niwelację terenu na obiekcie OSiR Głuszyna</t>
  </si>
  <si>
    <t>Nabycie gruntów objętych miejscowymi planami zagospodarowania przestrzennego</t>
  </si>
  <si>
    <t>ZDM/P/008</t>
  </si>
  <si>
    <t>Przebudowa utwardzonych ulic gminnych</t>
  </si>
  <si>
    <t>GKM/ZDM/512</t>
  </si>
  <si>
    <t>Strefa Płatnego Parkowania na obszarze Jeżyc - automaty parkingowe wraz z montażem</t>
  </si>
  <si>
    <t>GKM/ZDM/536</t>
  </si>
  <si>
    <t>Przebudowa ul. Katowickiej na odcinku od ul. Wołkowyskiej (obwodowa) do torów tramwajowych</t>
  </si>
  <si>
    <t>N</t>
  </si>
  <si>
    <t>GKM/ZDM/553</t>
  </si>
  <si>
    <t>Uporządkowanie parkowania na Wildzie i Łazarzu - Strefa Płatnego Parkowania</t>
  </si>
  <si>
    <t>ZDM/P/012</t>
  </si>
  <si>
    <t>Ulice lokalne i peryferyjne</t>
  </si>
  <si>
    <t>ZDM/P/013</t>
  </si>
  <si>
    <t>Wykupy gruntów (drogi gminne)</t>
  </si>
  <si>
    <t>ZDM/P/017</t>
  </si>
  <si>
    <t>Budowa ul. Snopowej</t>
  </si>
  <si>
    <t>ZDM/P/024</t>
  </si>
  <si>
    <t>Przebudowa ul. Kolejowej</t>
  </si>
  <si>
    <t>ZDM/P/025</t>
  </si>
  <si>
    <t>Przebudowa ul. Prośnickiej i Żywocickiej</t>
  </si>
  <si>
    <t>ZDM/P/026</t>
  </si>
  <si>
    <t>Program "Centrum" - przebudowa ulicy św. Marcin</t>
  </si>
  <si>
    <t>ZDM/P/031</t>
  </si>
  <si>
    <t>Budowa ul. Staszowskiej i Klimontowskiej</t>
  </si>
  <si>
    <t>ZDM/P/032</t>
  </si>
  <si>
    <t>Program "Poznań Rataje - Franowo" - budowa ul. Folwarcznej</t>
  </si>
  <si>
    <t>Jednostki pomocnicze - osiedla, z tego:</t>
  </si>
  <si>
    <t>NM/ZEG/P/001</t>
  </si>
  <si>
    <t>Dofinansowanie budowy chodnika na os. Polan/St. Żegrze</t>
  </si>
  <si>
    <t>NM_RAT/P/001</t>
  </si>
  <si>
    <t>Dofinansowanie modernizacji i budowy chodników na terenie jednostki pomocniczej Rataje</t>
  </si>
  <si>
    <t>NM_GLW/P/001</t>
  </si>
  <si>
    <t>Budowa ściezek rowerowych na terenie jednostki pomocniczej Główna</t>
  </si>
  <si>
    <t>NM_CHR/P/001</t>
  </si>
  <si>
    <t>Budowa chodnika na os. Rusa</t>
  </si>
  <si>
    <t>Pozostałe</t>
  </si>
  <si>
    <t>680</t>
  </si>
  <si>
    <t>P/P/006</t>
  </si>
  <si>
    <t xml:space="preserve">Rezerwa celowa na program budowy i modernizacji chodników </t>
  </si>
  <si>
    <t>Drogi wewnętrzne</t>
  </si>
  <si>
    <t>GKM/ZDM/375</t>
  </si>
  <si>
    <t>Przebudowa dróg wewnętrznych</t>
  </si>
  <si>
    <t>SM_UML/P/001</t>
  </si>
  <si>
    <t>Pozostała działalność</t>
  </si>
  <si>
    <t>ZTM/P/004</t>
  </si>
  <si>
    <t>Poznański System Rowerów Publicznych (etap I Kampus Morasko)</t>
  </si>
  <si>
    <t>KP/P/013</t>
  </si>
  <si>
    <t>Program "Naramowice" - prace koncepcyjne</t>
  </si>
  <si>
    <t>KP/P/014</t>
  </si>
  <si>
    <t>Przebudowa układu komunikacyjnego w ciągu DK 92 - Węzeł Koszalińska - prace koncepcyjne</t>
  </si>
  <si>
    <t>KP/P/015</t>
  </si>
  <si>
    <t xml:space="preserve">Przebudowa układu komunikacyjnego w ciągu DK 92 - Węzeł Poznań Wola (Projekt komplementarny do projektu PLK PKP przebudowy linii kolejowej E-59) </t>
  </si>
  <si>
    <t>GOSPODARKA MIESZKANIOWA</t>
  </si>
  <si>
    <t>Zakłady gospodarki mieszkaniowej</t>
  </si>
  <si>
    <t>621</t>
  </si>
  <si>
    <t>GKM/ZKZL/111</t>
  </si>
  <si>
    <t>Budownictwo komunalne</t>
  </si>
  <si>
    <t>GKM/ZKZL/560</t>
  </si>
  <si>
    <t xml:space="preserve">Zagospodarowanie skweru przy ul. Grochowskiej </t>
  </si>
  <si>
    <t>Wydatki na zadania z zakresu administracji rządowej wykonywane przez gminę:</t>
  </si>
  <si>
    <t>Cmentarze</t>
  </si>
  <si>
    <t>GKM/GKM/542</t>
  </si>
  <si>
    <t>ZSS/ZSS/32</t>
  </si>
  <si>
    <t>Uzyskanie standardów w środowiskowych domach samopomocy</t>
  </si>
  <si>
    <t>Placówki opiekuńczo - wychowawcze</t>
  </si>
  <si>
    <t>CWR/P/001</t>
  </si>
  <si>
    <t>Centrum Wspierania Rodzin "Swoboda" - modernizacje</t>
  </si>
  <si>
    <t>ZSS/P/011</t>
  </si>
  <si>
    <t xml:space="preserve">Standaryzacja placowek opiekuńczo - wychowawczych </t>
  </si>
  <si>
    <t>Domy pomocy społecznej</t>
  </si>
  <si>
    <t>ZSS/P/012</t>
  </si>
  <si>
    <t>Dom Pomocy Społecznej przy ul. Bukowskiej - nowa siedziba DPS przy ul. Pamiątkowej</t>
  </si>
  <si>
    <t>DPS2/P/001</t>
  </si>
  <si>
    <t>Dom Pomocy Społecznej przy ul. Konarskiego - modernizacje</t>
  </si>
  <si>
    <t>P/P/007</t>
  </si>
  <si>
    <t>Rezerwa celowa na dostosowanie budynku Domu Pomocy Społecznej w Poznaniu przy ul. Bukowskiej do standardow p.poż.</t>
  </si>
  <si>
    <t>Jednostki specjalist.poradnictwa, mieszkania chronione i ośrodki interwencji kryzysowej</t>
  </si>
  <si>
    <t>ZSS/DPS3/20</t>
  </si>
  <si>
    <t>Utworzenie mieszkania chronionego przy ul. Winogrady 150</t>
  </si>
  <si>
    <t>POZOSTAŁE ZADANIA W ZAKRESIE POLITYKI SPOŁECZNEJ</t>
  </si>
  <si>
    <t>Powiatowe urzędy pracy</t>
  </si>
  <si>
    <t>662</t>
  </si>
  <si>
    <t>DGR/P/001</t>
  </si>
  <si>
    <t>GKM/ZKZL/561</t>
  </si>
  <si>
    <t>Budowa placu zabaw i boiska przy ul. Dojazd</t>
  </si>
  <si>
    <t>GKM/ZKZL/562</t>
  </si>
  <si>
    <t>Budowa kompleksu rekreacyjnego oraz placu zabaw przy ul. Św. Michała</t>
  </si>
  <si>
    <t>GKM/ZKZL/563</t>
  </si>
  <si>
    <t>Budowa placu zabaw przy ul. Paszty</t>
  </si>
  <si>
    <t>Gospodarka gruntami i nieruchomościami</t>
  </si>
  <si>
    <t>GN/P/001</t>
  </si>
  <si>
    <t>Wykupy nieruchomości, w tym skutki uchwalenia mpzp</t>
  </si>
  <si>
    <t>????</t>
  </si>
  <si>
    <t>GN/P/002</t>
  </si>
  <si>
    <t>Modernizacje budynków komunalnych</t>
  </si>
  <si>
    <t>K???</t>
  </si>
  <si>
    <t>GN/P/003</t>
  </si>
  <si>
    <t>Modernizacja obiektu oraz terenu do ćwiczeń  w JRG nr 8 w Bolechowie oraz modernizacja obiektów na terenie Filii Powiatowego Ośrodka Szkolenia OSP w JRG nr 6 Krzesiny</t>
  </si>
  <si>
    <t>Obrona cywilna</t>
  </si>
  <si>
    <t>ZKB/P/001</t>
  </si>
  <si>
    <t xml:space="preserve">Infrastruktura Technicznych Systemów Bezpieczeństwa i Porządku Publicznego oraz Monitoringu Wizyjnego Miasta Poznania </t>
  </si>
  <si>
    <t>Szkoły podstawowe specjalne</t>
  </si>
  <si>
    <t>OW/SPS112/318</t>
  </si>
  <si>
    <t>Modernizacja budynku wraz z zagospodarowaniem terenu Zespołu Szkół Specjalnych nr 112 przy ul. Obornickiej 314</t>
  </si>
  <si>
    <t>GR_GPN/SPS101/1</t>
  </si>
  <si>
    <t>Zespół Szkół Specjalnych nr 101 - modernizacja boiska sportowego do piłki nożnej i ręcznej</t>
  </si>
  <si>
    <t>Licea ogólnokształcące</t>
  </si>
  <si>
    <t>LO20/P/005</t>
  </si>
  <si>
    <t>XX Liceum Ogólnokształcące - zagospodarowanie terenów boiska i stacjonarnej siłowni zewnętrznej</t>
  </si>
  <si>
    <t>OW/P/002</t>
  </si>
  <si>
    <t>Renowacja elewacji i dachów zabytkowego zespołu budynków oświatowych przy ul. Cegielskiego 1 i ul. Garbary 20 wraz z adaptacją budynków na potrzeby VIII Liceum Ogólnokształcącego</t>
  </si>
  <si>
    <t>Szkoły zawodowe</t>
  </si>
  <si>
    <t>OW/OW/18</t>
  </si>
  <si>
    <t>Termorenowacja budynków</t>
  </si>
  <si>
    <t>KP/SZZSS/1</t>
  </si>
  <si>
    <t>Biura planowania przestrzennego</t>
  </si>
  <si>
    <t>MPU/P/001</t>
  </si>
  <si>
    <t xml:space="preserve">Miejska Pracownia Urbanistyczna - zakup sprzętu komputerowego i oprogramowania </t>
  </si>
  <si>
    <t>*) W związku z umorzeniem pożyczek z WFOŚ i GW w Poznaniu na łączna kwotę 997.633,87 zł dotyczącą umów nr: 20/U/400/289/2014 z 13.07.2012 r., 30/P/OZ-s/I/06 
z 10.07.2006r., 31/P/PR/N/06 z 10.07.2006 r., 116/P/OA-t/I/06 z 7.11.2006 r., 139/P/OA/-T/i/06 z 26.11.2006 r., 163/P/OA-t-k/I/06 z 13.12.2006 r., 195/P/OA-zot/I/06 z 22.12.2006 r., 197/U/400/286/2008 z 04.11.2008 r., 209/U/400/162/2008 z 04.11.2008 r., 211/U/400/164/2008 z 04.11.2008 r., 212/U/400/160/2008 z 04.11.2008 r. i 293/U/400/424/2008 z 12.12.2008 r.</t>
  </si>
  <si>
    <t>* N - nowe, K, Kontynuowane (podział tylko dla § 605)</t>
  </si>
  <si>
    <t>Razem § 605</t>
  </si>
  <si>
    <t>§ 605 cz.I</t>
  </si>
  <si>
    <t>§ 605 cz. II</t>
  </si>
  <si>
    <t>§ 605 cz. III</t>
  </si>
  <si>
    <t>§ 605 cz.IV</t>
  </si>
  <si>
    <t>§ 606 cz.I</t>
  </si>
  <si>
    <t>607</t>
  </si>
  <si>
    <t>§ 606 cz. II</t>
  </si>
  <si>
    <t>608</t>
  </si>
  <si>
    <t>Razem § 606</t>
  </si>
  <si>
    <t>Razem § 658</t>
  </si>
  <si>
    <t>Razem §§ dotacyjne (621, 622,623, 662, 619)</t>
  </si>
  <si>
    <t>601</t>
  </si>
  <si>
    <t>Pozostałe §§ majątkowe (601,602, 617, 680,666)</t>
  </si>
  <si>
    <t>inwestycje nowe cz.I</t>
  </si>
  <si>
    <t>inwestycje nowe cz.II</t>
  </si>
  <si>
    <t>inwestycje cz. III</t>
  </si>
  <si>
    <t>razem nowe</t>
  </si>
  <si>
    <t>inwestycje kontynuowane cz.I</t>
  </si>
  <si>
    <t>inwestycje kontynuowane cz.II</t>
  </si>
  <si>
    <t>inwestycje kontynuowane cz.III</t>
  </si>
  <si>
    <t>razem kontynuowane</t>
  </si>
  <si>
    <t>Wydatki inwestycyjne nowe i kontynuowane (§ 605):</t>
  </si>
  <si>
    <t>§ 606</t>
  </si>
  <si>
    <t>Wydatki inwestycyjne nowe i kontynuowane (§ 606):</t>
  </si>
  <si>
    <t>Doposażenie oraz wymiana sprzętu związanego z przeciwdziałaniem i usuwaniem skutków klęsk żwywiołowych</t>
  </si>
  <si>
    <t>Usuwanie klęsk żywiołowych</t>
  </si>
  <si>
    <t>Rezerwa celowa na budżet obywatelski</t>
  </si>
  <si>
    <t>OŚWIATA I WYCHOWANIE</t>
  </si>
  <si>
    <t>Szkoły podstawowe</t>
  </si>
  <si>
    <t>SP12/P/005</t>
  </si>
  <si>
    <t>Winogradzki Park Sportu i Rekreacji</t>
  </si>
  <si>
    <t>SP34/P/005</t>
  </si>
  <si>
    <t>Przebudowa i termomodernizacja hali sportowej w Szkole Podstawowej nr 34</t>
  </si>
  <si>
    <t>SP59/P/006</t>
  </si>
  <si>
    <t>Budowa bieżni lekkoatletycznej na boisku Szkoły Podstawowej nr 59</t>
  </si>
  <si>
    <t>SP62/P/005</t>
  </si>
  <si>
    <t>Dostosowanie podwórka szkoły Podstawowej nr 62 do potrzeb dzieci 6 - 10 lat (bezpieczny plac zabaw)</t>
  </si>
  <si>
    <t>SP70/P/005</t>
  </si>
  <si>
    <t>Budowa dziedzińca szkolnego, wielofunkcyjnego prz Szkole Podstawowej nr 70</t>
  </si>
  <si>
    <t>OW/P/001</t>
  </si>
  <si>
    <t>Budowa Zespołu Szkolno-Przedszkolnego na Naramowicach</t>
  </si>
  <si>
    <t>OW/P/003</t>
  </si>
  <si>
    <t>Rozbudowa Zespołu Szkół nr 6 przy ul. Szczepankowo</t>
  </si>
  <si>
    <t>OW/P/004</t>
  </si>
  <si>
    <t xml:space="preserve">Budowa sali gimnastycznej  z łącznikiem przy Zespole Szkół nr 1 w Poznaniu ul. Leśnowolska </t>
  </si>
  <si>
    <t>Przedszkola</t>
  </si>
  <si>
    <t>P58/P/004</t>
  </si>
  <si>
    <t>Przedszkole nr 58 - zakupy inwestycyjne</t>
  </si>
  <si>
    <t>P68/P/005</t>
  </si>
  <si>
    <t>§ 658</t>
  </si>
  <si>
    <t>Wydatki inwestycyjne nowe i kontynuowane (§ 658):</t>
  </si>
  <si>
    <t>Razem nowe</t>
  </si>
  <si>
    <t>Razem kontynuowane</t>
  </si>
  <si>
    <t>Razem ogółem</t>
  </si>
  <si>
    <t>Ośrodki dokumentacji geodezyjnej i kartograficznej</t>
  </si>
  <si>
    <t>Zarząd Geodezji i Katastru Miejskiego "GEOPOZ"</t>
  </si>
  <si>
    <t>GEOPOZ/P/001</t>
  </si>
  <si>
    <t>System Informacji Przestrzennej</t>
  </si>
  <si>
    <t>było 6060</t>
  </si>
  <si>
    <t>GEOPOZ/P/002</t>
  </si>
  <si>
    <t>GEOPOZ - zakup sprzętu komputerowego i oprogramowania</t>
  </si>
  <si>
    <t>GEOPOZ/P/003</t>
  </si>
  <si>
    <t>RÓŻNE ROZLICZENIA</t>
  </si>
  <si>
    <t>Rezerwy ogólne i celowe</t>
  </si>
  <si>
    <t>P/P/001</t>
  </si>
  <si>
    <t>Rezerwa celowa na przygotowanie, realizację oraz trwałość projektów</t>
  </si>
  <si>
    <t>P/P/002</t>
  </si>
  <si>
    <t>Rezerwa celowa na przedsięwzięcia z udziałem innych inwestorów</t>
  </si>
  <si>
    <t>P/P/003</t>
  </si>
  <si>
    <t>Rezerwa celowa na jednostki pomocnicze - osiedla</t>
  </si>
  <si>
    <t>Urząd Miasta Poznania - modernizacja sieci komputerowej</t>
  </si>
  <si>
    <t>IN/P/002</t>
  </si>
  <si>
    <t>Urząd Miasta Poznania - zakup sprzętu komputerowego i oprogramowania</t>
  </si>
  <si>
    <t>K ??</t>
  </si>
  <si>
    <t>IN/P/003</t>
  </si>
  <si>
    <t>Wdrożenie systemu gospodarowania nieruchomościami</t>
  </si>
  <si>
    <t>N??</t>
  </si>
  <si>
    <t>ZOU/P/004</t>
  </si>
  <si>
    <t>Adaptacja budynku warsztatowego Zespołu Szkół Mechanicznych w Poznaniu przy ul. Świerkowej na cele centralnej siedziby Archiwum Zakładowego UMP</t>
  </si>
  <si>
    <t>ZOU/P/001</t>
  </si>
  <si>
    <t>Urzad Miasta Poznania - modernizacje</t>
  </si>
  <si>
    <t>ZOU/P/003</t>
  </si>
  <si>
    <t>Urząd Miasta Poznania - modernizacja systemu łączności i teleinformatycznego</t>
  </si>
  <si>
    <t>ZOU/P/002</t>
  </si>
  <si>
    <t xml:space="preserve">Urząd Miasta Poznania - zakupy inwestycyjne </t>
  </si>
  <si>
    <t>OR/P/001</t>
  </si>
  <si>
    <t>Portal mieszkańca - prace przygotowawcze</t>
  </si>
  <si>
    <t>BEZPIECZEŃSTWO PUBLICZNE I OCHRONA PRZECIWPOŻAROWA</t>
  </si>
  <si>
    <t>Ochotnicze straże pożarne</t>
  </si>
  <si>
    <t>623</t>
  </si>
  <si>
    <t>ZKB/ZKB/20</t>
  </si>
  <si>
    <t>Przedszkole nr 68 - rozbudowa przedszkola o dodatkowy oddział</t>
  </si>
  <si>
    <t>Gimnazja</t>
  </si>
  <si>
    <t>GM22/P/001</t>
  </si>
  <si>
    <t>Gimnazjum nr 22 - termorenowacja budynku</t>
  </si>
  <si>
    <t>GM58/P/005</t>
  </si>
  <si>
    <t xml:space="preserve">Budowa boiska do piłki koszykowej przy Gimnazjum nr 58 </t>
  </si>
  <si>
    <t>KP/P/006</t>
  </si>
  <si>
    <t>Budowa kanalizacji deszczowej wraz z niezbędną przebudową układu drogowego dla os. Kiekrz</t>
  </si>
  <si>
    <t>ZDM/P/020</t>
  </si>
  <si>
    <t>Budowa kolektora deszczowego w ul. Królowej Jadwigi</t>
  </si>
  <si>
    <t>ZDM/P/021</t>
  </si>
  <si>
    <t>Budowa sieci wodociągowej oraz kanalizacji sanitarnej i deszczowej wraz z budową dróg i chodników na terenie os. Księdza Skorupki</t>
  </si>
  <si>
    <t>ZDM/P/022</t>
  </si>
  <si>
    <t>Ciek Górczynka</t>
  </si>
  <si>
    <t>Ochrona środowiska</t>
  </si>
  <si>
    <t>OŚ/OŚ/27</t>
  </si>
  <si>
    <t xml:space="preserve">Oczyszczanie miast i wsi </t>
  </si>
  <si>
    <t>GKM/GKM/559</t>
  </si>
  <si>
    <t xml:space="preserve">Opracowanie oprogramowania do opłat za gospodarowanie odpadami komunalnymi </t>
  </si>
  <si>
    <t>Utrzymanie zieleni w miastach i gminach</t>
  </si>
  <si>
    <t>Zarząd Zieleni Miejskiej</t>
  </si>
  <si>
    <t>658</t>
  </si>
  <si>
    <t>ZZM/P/002</t>
  </si>
  <si>
    <t>Rewaloryzacja zieleni w centrum miasta - Cmentarz Zasłużonych Wielkopolan</t>
  </si>
  <si>
    <t>ZZM/P/003</t>
  </si>
  <si>
    <t>Zagospodarowanie starego koryta Warty</t>
  </si>
  <si>
    <t>ZZM/P/001</t>
  </si>
  <si>
    <t>Budowa i modernizacja parków i zieleńców</t>
  </si>
  <si>
    <t>Zakład Lasów Poznańskich</t>
  </si>
  <si>
    <t>N???</t>
  </si>
  <si>
    <t>GKM/P/002</t>
  </si>
  <si>
    <t>Rekultywacja , poprawa i stabilizacja jakości wód jeziora Strzeszyńskiego</t>
  </si>
  <si>
    <t>Gospodarka odpadami</t>
  </si>
  <si>
    <t xml:space="preserve">Gospodarka komunalna </t>
  </si>
  <si>
    <t>GKM/P/006</t>
  </si>
  <si>
    <t>System Gospodarki Odpadami dla Miasta Poznania</t>
  </si>
  <si>
    <t>Odnowa i tworzenie infrastruktury rekreacyjnej na terenie lasów komunalnych</t>
  </si>
  <si>
    <t>GKM/P/003</t>
  </si>
  <si>
    <t>Rewitalizacja rezerwatu Żurawiniec</t>
  </si>
  <si>
    <t>GKM/P/004</t>
  </si>
  <si>
    <t>Zalesienie brakującej części otuliny Fortu I wraz z rekultywacją terenu</t>
  </si>
  <si>
    <t>JE_JEZ/P/001</t>
  </si>
  <si>
    <t xml:space="preserve">Program "Centrum" - modernizacja torowisk w ul. Wierzbięcice i 28 Czerwca 1956 r. </t>
  </si>
  <si>
    <t>ZTM/P/008</t>
  </si>
  <si>
    <t xml:space="preserve">Program "Brama Zachodnia" - przebudowa trasy tramwajowej w ul. Dąbrowskiego - od ul. Botanicznej do ul. Żeromskiego wraz z węzłem </t>
  </si>
  <si>
    <t>ZTM/P/009</t>
  </si>
  <si>
    <t>Program "Poznań Rataje - Franowo" - koncepcja rozwiązań transportowych na odc.od ul. Matyi do Ronda Rataje</t>
  </si>
  <si>
    <t>ZTM/P/010</t>
  </si>
  <si>
    <t>Budowa ogólnodostępnego kompleksu rekreacyjnego</t>
  </si>
  <si>
    <t>NM_ZEG/P/002</t>
  </si>
  <si>
    <t>Dofinansowanie budowy placu zabaw na os. Orła Białego</t>
  </si>
  <si>
    <t>SM_JSM/P/001</t>
  </si>
  <si>
    <t>Zakup i montaż urządzeń zabawowych na terenie os. Jana III Sobieskiego</t>
  </si>
  <si>
    <t>SM_MOR/P/001</t>
  </si>
  <si>
    <t xml:space="preserve">Zagospodarowanie placów zabaw przy ul. Morasko i ul. Lubczykowej </t>
  </si>
  <si>
    <t>Palmiarnia Poznańska- zakupy inwestycyjne</t>
  </si>
  <si>
    <t>PALM/P/002</t>
  </si>
  <si>
    <t>Renowacja parku Wilsona</t>
  </si>
  <si>
    <t>PALM/P/003</t>
  </si>
  <si>
    <t>Palmiarnia Poznańska - zwiększenie efektywności energetycznej pawilonów - projekt</t>
  </si>
  <si>
    <t xml:space="preserve">KULTURA FIZYCZNA </t>
  </si>
  <si>
    <t>Obiekty sportowe</t>
  </si>
  <si>
    <t>KP/P/003</t>
  </si>
  <si>
    <t>Hala Widowiskowo-Sportowa - koncepcja funkcjonalno-przestrzenna</t>
  </si>
  <si>
    <t>Jednostki pomocnicze- osiedla, z tego:</t>
  </si>
  <si>
    <t>JE_POD/JE_POD/2</t>
  </si>
  <si>
    <t>Rozdz.</t>
  </si>
  <si>
    <t>N/K*</t>
  </si>
  <si>
    <t>Numer 
zadania</t>
  </si>
  <si>
    <t>Nazwa zadania</t>
  </si>
  <si>
    <t>WYDATKI OGÓŁEM</t>
  </si>
  <si>
    <t>Wydatki na zadania gminy ogółem:</t>
  </si>
  <si>
    <t>z tego:</t>
  </si>
  <si>
    <t>Wydatki na zadania własne gminy:</t>
  </si>
  <si>
    <t>010</t>
  </si>
  <si>
    <t>JE_STR/P/001</t>
  </si>
  <si>
    <t>Zagospodarowanie parku przy ul. Homera - etap I</t>
  </si>
  <si>
    <t>JE_STR/P/002</t>
  </si>
  <si>
    <t>Zagospodarowanie sportowego terenu przy ul. Krajaneckiej - utworzenie strefy seniora</t>
  </si>
  <si>
    <t>NM_CHR/P/002</t>
  </si>
  <si>
    <t>Modernizacja placu zabaw na os. Tysiąclecia</t>
  </si>
  <si>
    <t>NM_CHR/P/003</t>
  </si>
  <si>
    <t xml:space="preserve">Doposażenie placu zabaw przy ul. Kopcowej oraz terenu rekreacyjno - sportowego przy ul. Łagodnej </t>
  </si>
  <si>
    <t>SM_PTK/P/001</t>
  </si>
  <si>
    <t>Budowa kompleksu boisk sportowych na terenie os. St. Batorego - etap III</t>
  </si>
  <si>
    <t>SM_WWS/P/001</t>
  </si>
  <si>
    <t>Zakup i montaż urządzeń zabawowych na terenie os. Kosmonautów</t>
  </si>
  <si>
    <t>Instytucje kultury fizycznej</t>
  </si>
  <si>
    <t>Poznańskie Ośrodki Sportu i Rekreacji</t>
  </si>
  <si>
    <t>SP/P/001</t>
  </si>
  <si>
    <t>Modernizacja Hotelu Camping Malta</t>
  </si>
  <si>
    <t>SP/P/002</t>
  </si>
  <si>
    <t>Modernizacja kąpielisk wraz z otoczeniem i zapleczem - wielobranżowa modernizacja pływalni w Parku Kasprowicza - dokumentacja</t>
  </si>
  <si>
    <t>SP/P/003</t>
  </si>
  <si>
    <t>Młodzieżowy Ośrodek Sportowy - modernizacje</t>
  </si>
  <si>
    <t>SP/P/004</t>
  </si>
  <si>
    <t>Modernizacja obiektów kompleksu Chwiałka</t>
  </si>
  <si>
    <t>SP/P/005</t>
  </si>
  <si>
    <t xml:space="preserve">Modernizacja Toru Regatowego Malta </t>
  </si>
  <si>
    <t>SP/P/006</t>
  </si>
  <si>
    <t>Wielobranżowa Modernizacja HWS Arena</t>
  </si>
  <si>
    <t>K??</t>
  </si>
  <si>
    <t>SP/P/007</t>
  </si>
  <si>
    <t>Wielobranżowa modernizacja obiektów kompleksu Golęcin w tym nowa trybuna z częścią halową) - prace koncepcyjno - projektowe</t>
  </si>
  <si>
    <t>SP/P/008</t>
  </si>
  <si>
    <t>POSiR - zakupy inwestycyjne</t>
  </si>
  <si>
    <t>SP/P/009</t>
  </si>
  <si>
    <t>Modernizacja pływalni krytej na Ratajach</t>
  </si>
  <si>
    <t>SP/P/010</t>
  </si>
  <si>
    <t>Sportowy Golaj - Golęcińska Strefa Sportu i Rekreacji</t>
  </si>
  <si>
    <t>SP/P/011</t>
  </si>
  <si>
    <t>"Nowa Rusałka"</t>
  </si>
  <si>
    <t>JE_SOL/JE_SOL/1</t>
  </si>
  <si>
    <t>Instalacja nawadniająca kwaterę żołnierzy Armii Czerwonej</t>
  </si>
  <si>
    <t>Wydatki na zadania powiatu ogółem:</t>
  </si>
  <si>
    <t>Wydatki na zadania własne powiatu:</t>
  </si>
  <si>
    <t>Drogi publiczne w miastach na prawach powiatu</t>
  </si>
  <si>
    <t>ZDM/P/002</t>
  </si>
  <si>
    <t>Budowa dróg rowerowych</t>
  </si>
  <si>
    <t>ZDM/P/005</t>
  </si>
  <si>
    <t xml:space="preserve">Modernizacja obiektów inżynierskich </t>
  </si>
  <si>
    <t>ZDM/P/007</t>
  </si>
  <si>
    <t>Opracowanie koncepcji układów komunikacyjnych, projekty i studia wykonalności</t>
  </si>
  <si>
    <t>ZDM/P/009</t>
  </si>
  <si>
    <t>Przebudowa utwardzonych ulic krajowych, wojewódzkich i powiatowych, w tym ochrona akustyczna ulic</t>
  </si>
  <si>
    <t>ZDM/P/010</t>
  </si>
  <si>
    <t>Rozbudowa systemu sygnalizacji świetlnych, przebudowa skrzyżowań</t>
  </si>
  <si>
    <t>ZDM/P/011</t>
  </si>
  <si>
    <t>System Informacji Miejskiej</t>
  </si>
  <si>
    <t>ZDM/P/014</t>
  </si>
  <si>
    <t>Wykupy gruntów (drogi krajowe, wojewódzkie, powiatowe)</t>
  </si>
  <si>
    <t>ZDM/P/015</t>
  </si>
  <si>
    <t>Zarząd Dróg Miejskich - zakupy inwestycyjne</t>
  </si>
  <si>
    <t>ZDM/P/018</t>
  </si>
  <si>
    <t>Przebudowa  ul. Sypniewo</t>
  </si>
  <si>
    <t>GKM/ZDM/380</t>
  </si>
  <si>
    <t>Budowa nowego i przebudowa istniejącego układu drogowego wraz z niezbędną infrastrukturą dla "Centrum Łacina"</t>
  </si>
  <si>
    <t>ZDM/P/023</t>
  </si>
  <si>
    <t>Budowa Węzła Drogowego DĘBIEC</t>
  </si>
  <si>
    <t>ZDM/P/027</t>
  </si>
  <si>
    <t>Program "Poznań Rataje - Franowo" - przebudowa obiektów inżynierskich nad ul. Inflancką i ul. Chartowo</t>
  </si>
  <si>
    <t>ZDM/P/028</t>
  </si>
  <si>
    <t>Przebudowa układu komunikacyjnego w ciągu DK 92 - drogi dojazdowe do spalarni</t>
  </si>
  <si>
    <t>ZDM/P/030</t>
  </si>
  <si>
    <t xml:space="preserve">Przebudowa węzła komunikacyjnego Rondo Kaponiera </t>
  </si>
  <si>
    <t>Komendy wojewódzkie Policji</t>
  </si>
  <si>
    <t>617</t>
  </si>
  <si>
    <t>ZKB/P/002</t>
  </si>
  <si>
    <t>Dofinansowanie Funduszu Wsparcia Policji - zakupy inwestycyjne</t>
  </si>
  <si>
    <t>Komendy wojewódzkie Państwowej Straży Pożarnej</t>
  </si>
  <si>
    <t>ZKB/P/003</t>
  </si>
  <si>
    <t>Dofinansowanie Funduszu Wsparcia Państwowej Straży Pożarnej - zakupy inwestycyjne</t>
  </si>
  <si>
    <t>Komendy powiatowe Państwowej Straży Pożarnej</t>
  </si>
  <si>
    <t>ZKB/MKPSP/1</t>
  </si>
  <si>
    <t>Dofinansowanie zakupów inwestycyjnych Państwowej Straży Pożarnej</t>
  </si>
  <si>
    <t>ZKB/MKPSP/10</t>
  </si>
  <si>
    <t>Zespół Szkół Samochodowych - projekt "Mechanik motocyklowy z pasją" - zakupy inwestycyjne</t>
  </si>
  <si>
    <t>JE_OGR/SZZE1/6</t>
  </si>
  <si>
    <t>Zespół Szkół Elektrycznych nr 1 - budowa boiska szkolnego wielofunkcyjnego</t>
  </si>
  <si>
    <t>Zakłady opiekuńczo-lecznicze i pielęgnacyjno-opiekuńcze</t>
  </si>
  <si>
    <t>ZSS/P/004</t>
  </si>
  <si>
    <t>Zakład Opiekuńczo-Leczniczy i Rehabilitacji Medycznej - zakupy inwestycyjne</t>
  </si>
  <si>
    <t>ZSS/P/009</t>
  </si>
  <si>
    <t>Zakład Opiekuńczo-Leczniczy i Rehabilitacji Medycznej - rozbudowa budynku głównego przy ul. Mogileńskiej 42 w Poznaniu o nowe skrzydło - program funkcjonalno - użytkowy</t>
  </si>
  <si>
    <t>ZSS/P/010</t>
  </si>
  <si>
    <t xml:space="preserve">Filia ZOLiRM w Owińskach - poprawa jakości i opieki nad osobami niesamodzielnymi, z zaburzeniami psychicznymi i niepełnosprawnymi intelektualnie - </t>
  </si>
  <si>
    <t>ZSS/P/013</t>
  </si>
  <si>
    <t>Kompleksowa modernizacja budynkow w ZOLiRM przy Mogileńskiej</t>
  </si>
  <si>
    <t>Dotacja dla powiatu na inwestycje i zakupy inwestycyjne</t>
  </si>
  <si>
    <t>EDUKACYJNA OPIEKA WYCHOWAWCZA</t>
  </si>
  <si>
    <t>Placówki wychowania pozaszkolnego</t>
  </si>
  <si>
    <t>SM_STM/OJ1/4</t>
  </si>
  <si>
    <t>Ogród Jordanowski Nr 1 - zakup i montaż nowych urządzeń zabawowych</t>
  </si>
  <si>
    <t xml:space="preserve">Teatry </t>
  </si>
  <si>
    <t>KD/P/008</t>
  </si>
  <si>
    <t>Teatr Animacji - zakupy inwestycyjne</t>
  </si>
  <si>
    <t>KD/P/011</t>
  </si>
  <si>
    <t>Teatr Ósmego Dnia - zakupy inwestycyjne</t>
  </si>
  <si>
    <t>KD/P/012</t>
  </si>
  <si>
    <t>Teatr Polski - zakupy inwestycyjne</t>
  </si>
  <si>
    <t>Teatr Muzyczny</t>
  </si>
  <si>
    <t>KD/P/009</t>
  </si>
  <si>
    <t>Teatr Muzyczny - modernizacje</t>
  </si>
  <si>
    <t>KD/P/010</t>
  </si>
  <si>
    <t>Teatr Muzyczny - zakupy inwestycyjne</t>
  </si>
  <si>
    <t>KD/P/016</t>
  </si>
  <si>
    <t xml:space="preserve">Program "Centrum" - nowa siedziba Teatru Muzycznego - program funkcjonalno - użytkowy </t>
  </si>
  <si>
    <t>KD/P/004</t>
  </si>
  <si>
    <t>Centrum Sztuki Dziecka - zakupy inwestycyjne</t>
  </si>
  <si>
    <t xml:space="preserve">Estrada Poznańska </t>
  </si>
  <si>
    <t>KD/ESP/2</t>
  </si>
  <si>
    <t>Zakupy inwestycyjne - Estrada Poznańska (Mobilne Systemy Rekreacyjne na Placu Wolności wraz 
z zagospodarowaniem ich otoczenia)</t>
  </si>
  <si>
    <t>Wydatki na zadania z zakresu administracji rządowej wykonywane przez powiat:</t>
  </si>
  <si>
    <t>MKPSP/P/001</t>
  </si>
  <si>
    <t>Budowa budynku strażnicy dla Jednostki Ratowniczo-Gaśniczej PSP w Poznaniu - Smochowicach</t>
  </si>
  <si>
    <t>MKPSP/MKPSP/22</t>
  </si>
  <si>
    <t>Optymalizacja zasobu poprzez przeniesienie rodzinnych ogrodów działkowych</t>
  </si>
  <si>
    <t>???</t>
  </si>
  <si>
    <t>GN/P/004</t>
  </si>
  <si>
    <t>Przystań rzeczna - prace przygotowawcze</t>
  </si>
  <si>
    <t>DZIAŁALNOŚĆ USŁUGOWA</t>
  </si>
  <si>
    <t>Straż gminna (miejska)</t>
  </si>
  <si>
    <t>SMMP/P/001</t>
  </si>
  <si>
    <t xml:space="preserve">Straż Miejska Miasta Poznania - zakupy inwestycyjne </t>
  </si>
  <si>
    <t>ZKB/P/004</t>
  </si>
  <si>
    <t xml:space="preserve">Zakup sprzętu sportowego </t>
  </si>
  <si>
    <t>P/P/004</t>
  </si>
  <si>
    <t>Rezerwa celowa na wydatki jednostek systemu oświaty</t>
  </si>
  <si>
    <t>P/P/005</t>
  </si>
  <si>
    <t>Rezerwa celowa na projekty termorenowacyjne w oświacie</t>
  </si>
  <si>
    <t>Dofinansowanie zakupów inwestycyjnych Ochotniczej Straży Pożarnej</t>
  </si>
  <si>
    <t>Modernizacja systemów bezpieczeństwa w zakresie systemu obserwacji telewizyjnej w budynku stanowiącym siedzibę ZGKiM GEOPOZ i innych jednostek organizacyjnych miasta Poznania</t>
  </si>
  <si>
    <t>KP/P/001</t>
  </si>
  <si>
    <t>Poprawa jakości przestrzeni publicznej w ramach Miejskiego Programu Rewitalizacji</t>
  </si>
  <si>
    <t>KP/P/002</t>
  </si>
  <si>
    <t>Plaża Miejska - pomosty nad Wartą</t>
  </si>
  <si>
    <t>KP/P/004</t>
  </si>
  <si>
    <t>Program "Centrum" - prace koncepcyjne,  badania archeologiczne - płyta Starego Rynku</t>
  </si>
  <si>
    <t>INFORMATYKA</t>
  </si>
  <si>
    <t>GKM/GKM/439</t>
  </si>
  <si>
    <t>Budowa połączeń teletransmisyjnych jednostek miasta</t>
  </si>
  <si>
    <t>GKM/ZTM/472</t>
  </si>
  <si>
    <t>Poznańska Elektroniczna Karta Aglomeracyjna</t>
  </si>
  <si>
    <t>GKM/GKM/461</t>
  </si>
  <si>
    <t>Bezprzewodowy Poznań</t>
  </si>
  <si>
    <t>ADMINISTRACJA PUBLICZNA</t>
  </si>
  <si>
    <t>Urzędy gmin (miast i miast na prawach powiatu)</t>
  </si>
  <si>
    <t>IN/P/001</t>
  </si>
  <si>
    <t>Termomodernizacja obiektow użyteczności publicznej w Poznaniu</t>
  </si>
  <si>
    <t>KP/KP/6</t>
  </si>
  <si>
    <t>Akademia Małego Poznaniaka</t>
  </si>
  <si>
    <t>OCHRONA ZDROWIA</t>
  </si>
  <si>
    <t>Szpitale ogólne</t>
  </si>
  <si>
    <t>622</t>
  </si>
  <si>
    <t>ZSS/P/002</t>
  </si>
  <si>
    <t xml:space="preserve">Wielospecjalistyczny Szpital Miejski im. J. Strusia - zapewnienie właściwej infrastruktury technicznej szpitala - standaryzacja </t>
  </si>
  <si>
    <t>ZSS/P/003</t>
  </si>
  <si>
    <t>MOPR/P/001</t>
  </si>
  <si>
    <t xml:space="preserve">MOPR - zakupy inwestycyjne </t>
  </si>
  <si>
    <t>PCS/P/001</t>
  </si>
  <si>
    <t>Poznańskie Centrum Świadczeń - zakupy inwestycyjne</t>
  </si>
  <si>
    <t>PCS/P/002</t>
  </si>
  <si>
    <t>Poznańskie Centrum Świadczeń - modernizacje</t>
  </si>
  <si>
    <t xml:space="preserve">POZOSTAŁE ZADANIA W ZAKRESIE POLITYKI SPOŁECZNEJ </t>
  </si>
  <si>
    <t>Żłobki</t>
  </si>
  <si>
    <t>ZL2/P/001</t>
  </si>
  <si>
    <t xml:space="preserve">Zespół Żłobków nr 2 - modernizacje </t>
  </si>
  <si>
    <t>ZL2/P/002</t>
  </si>
  <si>
    <t>Zespół Żłobków nr 2 - modernizacje placów zabaw</t>
  </si>
  <si>
    <t>ZL4/P/001</t>
  </si>
  <si>
    <t xml:space="preserve">Zespół Żłobków nr 4 - modernizacje </t>
  </si>
  <si>
    <t>KP/KP/1</t>
  </si>
  <si>
    <t>Przeciwdziałanie wykluczeniu cyfrowemu</t>
  </si>
  <si>
    <t>GOSPODARKA KOMUNALNA I OCHRONA ŚRODOWISKA</t>
  </si>
  <si>
    <t>Gospodarka ściekowa i ochrona wód</t>
  </si>
  <si>
    <t>ZDM/P/019</t>
  </si>
  <si>
    <t xml:space="preserve">Wielospecjalistyczny Szpital Miejski im. J. Strusia - zakupy inwestycyjne </t>
  </si>
  <si>
    <t>ZSS/P/005</t>
  </si>
  <si>
    <t>Rozbudowa systemu informatycznego oraz wdrożenie e-usług medycznych w szpitalu ZOZ Poznań-Jeżyce</t>
  </si>
  <si>
    <t>ZSS/P/006</t>
  </si>
  <si>
    <t>Szpital Miejski im.  F. Raszei - przebudowa Oddziału Otolaryngologii</t>
  </si>
  <si>
    <t>Lecznictwo ambulatoryjne</t>
  </si>
  <si>
    <t>ZSS/P/001</t>
  </si>
  <si>
    <t>Poznański Ośrodek Specjalistycznych Usług Medycznych - prace modernizacyjne</t>
  </si>
  <si>
    <t>ZSS/P/008</t>
  </si>
  <si>
    <t>Rozbudowa Hospicjum Palium - III etap</t>
  </si>
  <si>
    <t>POMOC SPOŁECZNA</t>
  </si>
  <si>
    <t>Ośrodki wsparcia</t>
  </si>
  <si>
    <t>ODB1/P/001</t>
  </si>
  <si>
    <t>Ośrodek dla Bezdomnych przy ul. Michałowo - modernizacje</t>
  </si>
  <si>
    <t>Ośrodki pomocy społecznej</t>
  </si>
  <si>
    <t>Budowa oświetlenia ulicznego wydzielonego na drogach oraz iluminacje</t>
  </si>
  <si>
    <t>ZDM/P/016</t>
  </si>
  <si>
    <t>Modernizacja oświetlenia ulicznego</t>
  </si>
  <si>
    <t>UK/P/001</t>
  </si>
  <si>
    <t>Usługi Komunalne - prace modernizacyjne</t>
  </si>
  <si>
    <t>UK/P/003</t>
  </si>
  <si>
    <t>Centra kultury i sztuki</t>
  </si>
  <si>
    <t>Centrum Kultury "Zamek"</t>
  </si>
  <si>
    <t>KD/P/002</t>
  </si>
  <si>
    <t>Centrum Kultury Zamek - modernizacje</t>
  </si>
  <si>
    <t>KD/P/003</t>
  </si>
  <si>
    <t>Centrum Kultury Zamek - zakupy inwestycyjne</t>
  </si>
  <si>
    <t xml:space="preserve">Opracowanie dokumentacji dla projektu "Tu wszystko się zaczęło - ekspozycja świadectw początków państwowości polskiej na Ostrowie Tumskim" </t>
  </si>
  <si>
    <t xml:space="preserve">Pozostałe </t>
  </si>
  <si>
    <t>KP/KP/11</t>
  </si>
  <si>
    <t>PREZYDENTA MIASTA POZNANIA</t>
  </si>
  <si>
    <t>DOCHODY OGÓŁEM</t>
  </si>
  <si>
    <t>PLAN FINANSOWY</t>
  </si>
  <si>
    <t>FN/U/000</t>
  </si>
  <si>
    <t>Dochody bieżące ogółem:</t>
  </si>
  <si>
    <t>Wydatki bieżące ogółem:</t>
  </si>
  <si>
    <t xml:space="preserve">Nazwa </t>
  </si>
  <si>
    <t>Dz.
Rozdz.
§</t>
  </si>
  <si>
    <t>4120</t>
  </si>
  <si>
    <t>Zmiany</t>
  </si>
  <si>
    <t>Dochody na zadania własne powiatu:</t>
  </si>
  <si>
    <t>Pomoc dla domów pomocy społecznej</t>
  </si>
  <si>
    <t xml:space="preserve">ZSS/B/004
DPS1/B/003
DPS2/B/003
DPS3/B/003
DPSEB/B/003
</t>
  </si>
  <si>
    <t>4710</t>
  </si>
  <si>
    <t>2180</t>
  </si>
  <si>
    <t>Plan na 2022 r.</t>
  </si>
  <si>
    <t xml:space="preserve">zmiana </t>
  </si>
  <si>
    <t>z dnia 8 marca 2022 r.</t>
  </si>
  <si>
    <t>Załącznik nr 6 do zarządzenia Nr 177/2022/P</t>
  </si>
  <si>
    <t>z dnia 7 czerwca 2022 r.</t>
  </si>
  <si>
    <t>Załącznik nr 6 do zarządzenia Nr 444/2022/P</t>
  </si>
  <si>
    <t>Środki z Funduszu Przeciwdziałania COVID-19 na finansowanie lub dofinansowanie zadań związanych z przeciwdziałaniem COVID-19</t>
  </si>
  <si>
    <t>z dnia 6 września 2022 r.</t>
  </si>
  <si>
    <t>zmiana  6.09.2022</t>
  </si>
  <si>
    <t>sprawdzenie DPS 1-EB</t>
  </si>
  <si>
    <t>zmiany</t>
  </si>
  <si>
    <t>Załącznik nr 6 do zarządzenia Nr 676/2022/P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</si>
</sst>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#\ ###\ ###\ 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_-;\-* #,##0_-;_-* &quot;-&quot;??_-;_-@_-"/>
    <numFmt numFmtId="173" formatCode="#,##0.00\ &quot;zł&quot;"/>
    <numFmt numFmtId="174" formatCode="[$-415]dddd\,\ d\ mmmm\ yyyy"/>
    <numFmt numFmtId="175" formatCode="#,##0.00_ ;[Red]\-#,##0.00\ "/>
    <numFmt numFmtId="176" formatCode="_-* #,##0.0\ _z_ł_-;\-* #,##0.0\ _z_ł_-;_-* &quot;-&quot;\ _z_ł_-;_-@_-"/>
    <numFmt numFmtId="177" formatCode="_-* #,##0.00\ _z_ł_-;\-* #,##0.00\ _z_ł_-;_-* &quot;-&quot;\ _z_ł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color indexed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u val="single"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8"/>
      <color indexed="12"/>
      <name val="Arial CE"/>
      <family val="2"/>
    </font>
    <font>
      <sz val="11"/>
      <color indexed="12"/>
      <name val="Arial CE"/>
      <family val="2"/>
    </font>
    <font>
      <b/>
      <sz val="12"/>
      <color indexed="12"/>
      <name val="Arial CE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b/>
      <i/>
      <sz val="8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i/>
      <sz val="10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sz val="10"/>
      <color rgb="FFFF0000"/>
      <name val="Arial"/>
      <family val="2"/>
    </font>
    <font>
      <sz val="10"/>
      <color theme="1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9" fillId="0" borderId="0" xfId="56" applyNumberFormat="1" applyFont="1" applyFill="1" applyBorder="1" applyAlignment="1" applyProtection="1">
      <alignment horizontal="center" vertical="center"/>
      <protection/>
    </xf>
    <xf numFmtId="49" fontId="20" fillId="0" borderId="0" xfId="56" applyNumberFormat="1" applyFont="1" applyFill="1" applyBorder="1" applyAlignment="1" applyProtection="1">
      <alignment horizontal="center" vertical="center"/>
      <protection/>
    </xf>
    <xf numFmtId="166" fontId="20" fillId="0" borderId="0" xfId="56" applyNumberFormat="1" applyFont="1" applyFill="1" applyBorder="1" applyAlignment="1" applyProtection="1">
      <alignment horizontal="right" vertical="center"/>
      <protection/>
    </xf>
    <xf numFmtId="0" fontId="20" fillId="0" borderId="0" xfId="53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3" fontId="24" fillId="0" borderId="0" xfId="56" applyNumberFormat="1" applyFont="1" applyFill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26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/>
    </xf>
    <xf numFmtId="49" fontId="32" fillId="0" borderId="22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right" vertical="center"/>
    </xf>
    <xf numFmtId="49" fontId="26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49" fontId="26" fillId="3" borderId="22" xfId="0" applyNumberFormat="1" applyFont="1" applyFill="1" applyBorder="1" applyAlignment="1">
      <alignment horizontal="center" vertical="center"/>
    </xf>
    <xf numFmtId="49" fontId="22" fillId="3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/>
    </xf>
    <xf numFmtId="0" fontId="33" fillId="0" borderId="0" xfId="0" applyFont="1" applyBorder="1" applyAlignment="1">
      <alignment/>
    </xf>
    <xf numFmtId="49" fontId="34" fillId="3" borderId="22" xfId="0" applyNumberFormat="1" applyFont="1" applyFill="1" applyBorder="1" applyAlignment="1">
      <alignment horizontal="center" vertical="center"/>
    </xf>
    <xf numFmtId="49" fontId="33" fillId="3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49" fontId="34" fillId="0" borderId="2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vertical="center" wrapText="1"/>
    </xf>
    <xf numFmtId="49" fontId="34" fillId="0" borderId="15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4" fontId="33" fillId="0" borderId="15" xfId="0" applyNumberFormat="1" applyFont="1" applyFill="1" applyBorder="1" applyAlignment="1">
      <alignment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vertical="center" wrapText="1"/>
    </xf>
    <xf numFmtId="4" fontId="25" fillId="18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4" fontId="36" fillId="0" borderId="13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justify" vertical="center" wrapText="1"/>
    </xf>
    <xf numFmtId="0" fontId="33" fillId="10" borderId="0" xfId="0" applyFont="1" applyFill="1" applyBorder="1" applyAlignment="1">
      <alignment/>
    </xf>
    <xf numFmtId="49" fontId="34" fillId="10" borderId="13" xfId="0" applyNumberFormat="1" applyFont="1" applyFill="1" applyBorder="1" applyAlignment="1">
      <alignment horizontal="center" vertical="center"/>
    </xf>
    <xf numFmtId="49" fontId="36" fillId="10" borderId="13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vertical="center" wrapText="1"/>
    </xf>
    <xf numFmtId="4" fontId="36" fillId="10" borderId="13" xfId="0" applyNumberFormat="1" applyFont="1" applyFill="1" applyBorder="1" applyAlignment="1">
      <alignment vertical="center"/>
    </xf>
    <xf numFmtId="0" fontId="35" fillId="10" borderId="0" xfId="0" applyFont="1" applyFill="1" applyBorder="1" applyAlignment="1">
      <alignment/>
    </xf>
    <xf numFmtId="0" fontId="33" fillId="18" borderId="0" xfId="0" applyFont="1" applyFill="1" applyBorder="1" applyAlignment="1">
      <alignment/>
    </xf>
    <xf numFmtId="0" fontId="35" fillId="18" borderId="0" xfId="0" applyFont="1" applyFill="1" applyBorder="1" applyAlignment="1">
      <alignment/>
    </xf>
    <xf numFmtId="49" fontId="34" fillId="0" borderId="13" xfId="0" applyNumberFormat="1" applyFont="1" applyBorder="1" applyAlignment="1">
      <alignment horizontal="center" vertical="center"/>
    </xf>
    <xf numFmtId="4" fontId="33" fillId="0" borderId="13" xfId="0" applyNumberFormat="1" applyFont="1" applyFill="1" applyBorder="1" applyAlignment="1">
      <alignment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Fill="1" applyAlignment="1">
      <alignment/>
    </xf>
    <xf numFmtId="49" fontId="41" fillId="0" borderId="13" xfId="0" applyNumberFormat="1" applyFont="1" applyFill="1" applyBorder="1" applyAlignment="1">
      <alignment horizontal="center" vertical="center"/>
    </xf>
    <xf numFmtId="49" fontId="37" fillId="9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4" fontId="37" fillId="0" borderId="13" xfId="0" applyNumberFormat="1" applyFont="1" applyFill="1" applyBorder="1" applyAlignment="1">
      <alignment vertical="center"/>
    </xf>
    <xf numFmtId="0" fontId="42" fillId="0" borderId="0" xfId="0" applyFont="1" applyBorder="1" applyAlignment="1">
      <alignment/>
    </xf>
    <xf numFmtId="49" fontId="26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 wrapText="1"/>
    </xf>
    <xf numFmtId="0" fontId="36" fillId="0" borderId="0" xfId="0" applyFont="1" applyBorder="1" applyAlignment="1">
      <alignment/>
    </xf>
    <xf numFmtId="49" fontId="36" fillId="0" borderId="13" xfId="0" applyNumberFormat="1" applyFont="1" applyBorder="1" applyAlignment="1">
      <alignment horizontal="center" vertical="center"/>
    </xf>
    <xf numFmtId="0" fontId="36" fillId="0" borderId="25" xfId="0" applyFont="1" applyFill="1" applyBorder="1" applyAlignment="1">
      <alignment vertical="center" wrapText="1"/>
    </xf>
    <xf numFmtId="0" fontId="43" fillId="0" borderId="0" xfId="0" applyFont="1" applyBorder="1" applyAlignment="1">
      <alignment/>
    </xf>
    <xf numFmtId="49" fontId="38" fillId="0" borderId="13" xfId="0" applyNumberFormat="1" applyFont="1" applyBorder="1" applyAlignment="1">
      <alignment horizontal="center" vertical="center"/>
    </xf>
    <xf numFmtId="0" fontId="36" fillId="10" borderId="25" xfId="0" applyFont="1" applyFill="1" applyBorder="1" applyAlignment="1">
      <alignment vertical="center" wrapText="1"/>
    </xf>
    <xf numFmtId="49" fontId="36" fillId="9" borderId="1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4" fontId="36" fillId="0" borderId="14" xfId="0" applyNumberFormat="1" applyFont="1" applyFill="1" applyBorder="1" applyAlignment="1">
      <alignment vertical="center"/>
    </xf>
    <xf numFmtId="49" fontId="34" fillId="3" borderId="14" xfId="0" applyNumberFormat="1" applyFont="1" applyFill="1" applyBorder="1" applyAlignment="1">
      <alignment horizontal="center" vertical="center"/>
    </xf>
    <xf numFmtId="49" fontId="33" fillId="3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 wrapText="1"/>
    </xf>
    <xf numFmtId="49" fontId="33" fillId="9" borderId="13" xfId="0" applyNumberFormat="1" applyFont="1" applyFill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4" fontId="33" fillId="0" borderId="22" xfId="0" applyNumberFormat="1" applyFont="1" applyFill="1" applyBorder="1" applyAlignment="1">
      <alignment vertical="center"/>
    </xf>
    <xf numFmtId="49" fontId="26" fillId="3" borderId="14" xfId="0" applyNumberFormat="1" applyFont="1" applyFill="1" applyBorder="1" applyAlignment="1">
      <alignment horizontal="center" vertical="center"/>
    </xf>
    <xf numFmtId="49" fontId="22" fillId="3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4" fontId="36" fillId="0" borderId="15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49" fontId="36" fillId="9" borderId="14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/>
    </xf>
    <xf numFmtId="49" fontId="33" fillId="0" borderId="1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justify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18" borderId="0" xfId="0" applyFont="1" applyFill="1" applyBorder="1" applyAlignment="1">
      <alignment/>
    </xf>
    <xf numFmtId="49" fontId="25" fillId="18" borderId="2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 wrapText="1"/>
    </xf>
    <xf numFmtId="4" fontId="25" fillId="0" borderId="22" xfId="0" applyNumberFormat="1" applyFont="1" applyFill="1" applyBorder="1" applyAlignment="1">
      <alignment horizontal="right" vertical="center"/>
    </xf>
    <xf numFmtId="0" fontId="33" fillId="19" borderId="0" xfId="0" applyFont="1" applyFill="1" applyBorder="1" applyAlignment="1">
      <alignment/>
    </xf>
    <xf numFmtId="0" fontId="33" fillId="0" borderId="28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49" fontId="25" fillId="9" borderId="13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" fontId="37" fillId="0" borderId="13" xfId="0" applyNumberFormat="1" applyFont="1" applyFill="1" applyBorder="1" applyAlignment="1">
      <alignment horizontal="right" vertical="center"/>
    </xf>
    <xf numFmtId="49" fontId="37" fillId="9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vertical="center"/>
    </xf>
    <xf numFmtId="49" fontId="34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vertical="center" wrapText="1"/>
    </xf>
    <xf numFmtId="49" fontId="25" fillId="9" borderId="14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vertical="center" wrapText="1"/>
    </xf>
    <xf numFmtId="4" fontId="36" fillId="0" borderId="22" xfId="0" applyNumberFormat="1" applyFont="1" applyFill="1" applyBorder="1" applyAlignment="1">
      <alignment horizontal="right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49" fontId="36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26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5" fillId="9" borderId="2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vertical="center"/>
    </xf>
    <xf numFmtId="0" fontId="33" fillId="0" borderId="29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right" vertical="center"/>
    </xf>
    <xf numFmtId="49" fontId="33" fillId="0" borderId="25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36" fillId="9" borderId="25" xfId="0" applyNumberFormat="1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 wrapText="1"/>
    </xf>
    <xf numFmtId="49" fontId="36" fillId="20" borderId="13" xfId="0" applyNumberFormat="1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 wrapText="1"/>
    </xf>
    <xf numFmtId="49" fontId="33" fillId="0" borderId="31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4" fontId="33" fillId="0" borderId="27" xfId="0" applyNumberFormat="1" applyFont="1" applyFill="1" applyBorder="1" applyAlignment="1">
      <alignment vertical="center"/>
    </xf>
    <xf numFmtId="0" fontId="33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36" fillId="0" borderId="32" xfId="0" applyFont="1" applyFill="1" applyBorder="1" applyAlignment="1">
      <alignment horizontal="justify" vertical="center" wrapText="1"/>
    </xf>
    <xf numFmtId="0" fontId="25" fillId="0" borderId="21" xfId="0" applyFont="1" applyFill="1" applyBorder="1" applyAlignment="1">
      <alignment horizontal="justify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18" borderId="0" xfId="0" applyFont="1" applyFill="1" applyAlignment="1">
      <alignment/>
    </xf>
    <xf numFmtId="49" fontId="47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9" fillId="0" borderId="0" xfId="0" applyFont="1" applyAlignment="1">
      <alignment/>
    </xf>
    <xf numFmtId="49" fontId="50" fillId="0" borderId="13" xfId="0" applyNumberFormat="1" applyFont="1" applyBorder="1" applyAlignment="1">
      <alignment horizontal="center"/>
    </xf>
    <xf numFmtId="49" fontId="49" fillId="10" borderId="13" xfId="0" applyNumberFormat="1" applyFont="1" applyFill="1" applyBorder="1" applyAlignment="1">
      <alignment horizontal="center"/>
    </xf>
    <xf numFmtId="0" fontId="51" fillId="0" borderId="32" xfId="0" applyFont="1" applyBorder="1" applyAlignment="1">
      <alignment/>
    </xf>
    <xf numFmtId="49" fontId="50" fillId="0" borderId="14" xfId="0" applyNumberFormat="1" applyFont="1" applyBorder="1" applyAlignment="1">
      <alignment horizontal="center"/>
    </xf>
    <xf numFmtId="49" fontId="49" fillId="10" borderId="14" xfId="0" applyNumberFormat="1" applyFont="1" applyFill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vertical="center"/>
    </xf>
    <xf numFmtId="4" fontId="32" fillId="0" borderId="2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/>
    </xf>
    <xf numFmtId="49" fontId="53" fillId="0" borderId="14" xfId="0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53" fillId="0" borderId="33" xfId="0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/>
    </xf>
    <xf numFmtId="0" fontId="33" fillId="0" borderId="22" xfId="0" applyFont="1" applyFill="1" applyBorder="1" applyAlignment="1">
      <alignment vertical="center"/>
    </xf>
    <xf numFmtId="0" fontId="33" fillId="0" borderId="22" xfId="0" applyFont="1" applyFill="1" applyBorder="1" applyAlignment="1">
      <alignment horizontal="right" vertical="center"/>
    </xf>
    <xf numFmtId="49" fontId="53" fillId="0" borderId="22" xfId="0" applyNumberFormat="1" applyFont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 wrapText="1"/>
    </xf>
    <xf numFmtId="4" fontId="53" fillId="0" borderId="22" xfId="0" applyNumberFormat="1" applyFont="1" applyFill="1" applyBorder="1" applyAlignment="1">
      <alignment horizontal="right" vertical="center"/>
    </xf>
    <xf numFmtId="4" fontId="33" fillId="0" borderId="15" xfId="0" applyNumberFormat="1" applyFont="1" applyFill="1" applyBorder="1" applyAlignment="1">
      <alignment horizontal="right" vertical="center"/>
    </xf>
    <xf numFmtId="0" fontId="36" fillId="0" borderId="32" xfId="0" applyFont="1" applyFill="1" applyBorder="1" applyAlignment="1">
      <alignment vertical="center" wrapText="1"/>
    </xf>
    <xf numFmtId="0" fontId="36" fillId="10" borderId="13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" fontId="36" fillId="0" borderId="2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horizontal="justify" vertical="center" wrapText="1"/>
    </xf>
    <xf numFmtId="49" fontId="26" fillId="18" borderId="13" xfId="0" applyNumberFormat="1" applyFont="1" applyFill="1" applyBorder="1" applyAlignment="1">
      <alignment horizontal="center" vertical="center"/>
    </xf>
    <xf numFmtId="49" fontId="22" fillId="18" borderId="13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49" fontId="34" fillId="0" borderId="22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justify" vertical="center" wrapText="1"/>
    </xf>
    <xf numFmtId="0" fontId="36" fillId="0" borderId="15" xfId="0" applyFont="1" applyFill="1" applyBorder="1" applyAlignment="1">
      <alignment horizontal="justify" vertical="center" wrapText="1"/>
    </xf>
    <xf numFmtId="0" fontId="36" fillId="0" borderId="25" xfId="0" applyFont="1" applyFill="1" applyBorder="1" applyAlignment="1">
      <alignment horizontal="justify" vertical="center" wrapText="1"/>
    </xf>
    <xf numFmtId="0" fontId="54" fillId="0" borderId="0" xfId="0" applyFont="1" applyFill="1" applyAlignment="1">
      <alignment/>
    </xf>
    <xf numFmtId="0" fontId="33" fillId="0" borderId="0" xfId="0" applyFont="1" applyAlignment="1">
      <alignment/>
    </xf>
    <xf numFmtId="49" fontId="36" fillId="9" borderId="22" xfId="0" applyNumberFormat="1" applyFont="1" applyFill="1" applyBorder="1" applyAlignment="1">
      <alignment horizontal="center" vertical="center"/>
    </xf>
    <xf numFmtId="49" fontId="26" fillId="7" borderId="2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justify" vertical="center" wrapText="1"/>
    </xf>
    <xf numFmtId="49" fontId="34" fillId="18" borderId="13" xfId="0" applyNumberFormat="1" applyFont="1" applyFill="1" applyBorder="1" applyAlignment="1">
      <alignment horizontal="center" vertical="center"/>
    </xf>
    <xf numFmtId="49" fontId="36" fillId="18" borderId="13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49" fontId="53" fillId="0" borderId="19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4" fontId="53" fillId="0" borderId="19" xfId="0" applyNumberFormat="1" applyFont="1" applyFill="1" applyBorder="1" applyAlignment="1">
      <alignment horizontal="right" vertical="center"/>
    </xf>
    <xf numFmtId="0" fontId="33" fillId="7" borderId="0" xfId="0" applyFont="1" applyFill="1" applyBorder="1" applyAlignment="1">
      <alignment/>
    </xf>
    <xf numFmtId="0" fontId="36" fillId="0" borderId="13" xfId="0" applyFont="1" applyFill="1" applyBorder="1" applyAlignment="1">
      <alignment horizontal="justify" vertical="center" wrapText="1"/>
    </xf>
    <xf numFmtId="0" fontId="22" fillId="7" borderId="0" xfId="0" applyFont="1" applyFill="1" applyBorder="1" applyAlignment="1">
      <alignment/>
    </xf>
    <xf numFmtId="0" fontId="25" fillId="0" borderId="26" xfId="0" applyFont="1" applyFill="1" applyBorder="1" applyAlignment="1">
      <alignment horizontal="justify" vertical="center" wrapText="1"/>
    </xf>
    <xf numFmtId="0" fontId="22" fillId="0" borderId="28" xfId="0" applyFont="1" applyFill="1" applyBorder="1" applyAlignment="1">
      <alignment horizontal="justify" vertical="center" wrapText="1"/>
    </xf>
    <xf numFmtId="4" fontId="22" fillId="0" borderId="22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right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 wrapText="1"/>
    </xf>
    <xf numFmtId="4" fontId="44" fillId="0" borderId="22" xfId="0" applyNumberFormat="1" applyFont="1" applyFill="1" applyBorder="1" applyAlignment="1">
      <alignment horizontal="right" vertical="center"/>
    </xf>
    <xf numFmtId="49" fontId="25" fillId="9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/>
    </xf>
    <xf numFmtId="0" fontId="26" fillId="7" borderId="0" xfId="0" applyFont="1" applyFill="1" applyBorder="1" applyAlignment="1">
      <alignment/>
    </xf>
    <xf numFmtId="0" fontId="22" fillId="0" borderId="35" xfId="0" applyNumberFormat="1" applyFont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right"/>
    </xf>
    <xf numFmtId="4" fontId="5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18" borderId="0" xfId="0" applyNumberFormat="1" applyFont="1" applyFill="1" applyAlignment="1">
      <alignment/>
    </xf>
    <xf numFmtId="4" fontId="55" fillId="18" borderId="0" xfId="0" applyNumberFormat="1" applyFont="1" applyFill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right"/>
    </xf>
    <xf numFmtId="4" fontId="57" fillId="18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4" fontId="20" fillId="0" borderId="0" xfId="56" applyNumberFormat="1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20" fillId="0" borderId="0" xfId="56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23" fillId="0" borderId="0" xfId="0" applyNumberFormat="1" applyFont="1" applyFill="1" applyBorder="1" applyAlignment="1">
      <alignment/>
    </xf>
    <xf numFmtId="3" fontId="20" fillId="0" borderId="0" xfId="56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44" fillId="0" borderId="36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2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55" fillId="0" borderId="0" xfId="0" applyFont="1" applyFill="1" applyAlignment="1">
      <alignment horizontal="right"/>
    </xf>
    <xf numFmtId="49" fontId="55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49" fontId="57" fillId="0" borderId="0" xfId="0" applyNumberFormat="1" applyFont="1" applyFill="1" applyBorder="1" applyAlignment="1">
      <alignment horizontal="center" vertical="top"/>
    </xf>
    <xf numFmtId="4" fontId="57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4" fontId="22" fillId="0" borderId="39" xfId="0" applyNumberFormat="1" applyFont="1" applyFill="1" applyBorder="1" applyAlignment="1">
      <alignment horizontal="right" vertical="top"/>
    </xf>
    <xf numFmtId="0" fontId="22" fillId="0" borderId="40" xfId="0" applyFont="1" applyFill="1" applyBorder="1" applyAlignment="1">
      <alignment vertical="top" wrapText="1"/>
    </xf>
    <xf numFmtId="0" fontId="44" fillId="0" borderId="41" xfId="0" applyFont="1" applyFill="1" applyBorder="1" applyAlignment="1">
      <alignment vertical="center"/>
    </xf>
    <xf numFmtId="4" fontId="32" fillId="0" borderId="42" xfId="0" applyNumberFormat="1" applyFont="1" applyFill="1" applyBorder="1" applyAlignment="1">
      <alignment horizontal="right" vertical="center"/>
    </xf>
    <xf numFmtId="0" fontId="44" fillId="0" borderId="43" xfId="0" applyFont="1" applyFill="1" applyBorder="1" applyAlignment="1">
      <alignment vertical="center"/>
    </xf>
    <xf numFmtId="0" fontId="44" fillId="0" borderId="42" xfId="0" applyFont="1" applyFill="1" applyBorder="1" applyAlignment="1">
      <alignment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41" xfId="0" applyFont="1" applyFill="1" applyBorder="1" applyAlignment="1">
      <alignment horizontal="left" vertical="center"/>
    </xf>
    <xf numFmtId="0" fontId="44" fillId="0" borderId="44" xfId="0" applyFont="1" applyFill="1" applyBorder="1" applyAlignment="1">
      <alignment horizontal="left" vertical="center" wrapText="1"/>
    </xf>
    <xf numFmtId="4" fontId="31" fillId="0" borderId="42" xfId="0" applyNumberFormat="1" applyFont="1" applyFill="1" applyBorder="1" applyAlignment="1">
      <alignment horizontal="right" vertical="center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left" vertical="center" wrapText="1"/>
    </xf>
    <xf numFmtId="4" fontId="32" fillId="0" borderId="47" xfId="0" applyNumberFormat="1" applyFont="1" applyFill="1" applyBorder="1" applyAlignment="1">
      <alignment horizontal="right" vertical="center"/>
    </xf>
    <xf numFmtId="0" fontId="44" fillId="0" borderId="45" xfId="0" applyFont="1" applyFill="1" applyBorder="1" applyAlignment="1">
      <alignment vertical="center"/>
    </xf>
    <xf numFmtId="0" fontId="44" fillId="0" borderId="46" xfId="0" applyFont="1" applyFill="1" applyBorder="1" applyAlignment="1">
      <alignment vertical="center"/>
    </xf>
    <xf numFmtId="0" fontId="44" fillId="0" borderId="46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/>
    </xf>
    <xf numFmtId="0" fontId="22" fillId="0" borderId="3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" fontId="22" fillId="0" borderId="49" xfId="0" applyNumberFormat="1" applyFont="1" applyFill="1" applyBorder="1" applyAlignment="1">
      <alignment horizontal="right" vertical="center"/>
    </xf>
    <xf numFmtId="0" fontId="44" fillId="0" borderId="50" xfId="0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right" vertical="top"/>
    </xf>
    <xf numFmtId="0" fontId="44" fillId="0" borderId="52" xfId="0" applyFont="1" applyFill="1" applyBorder="1" applyAlignment="1">
      <alignment horizontal="center" vertical="top"/>
    </xf>
    <xf numFmtId="0" fontId="44" fillId="0" borderId="53" xfId="0" applyFont="1" applyFill="1" applyBorder="1" applyAlignment="1">
      <alignment horizontal="center" vertical="top"/>
    </xf>
    <xf numFmtId="0" fontId="44" fillId="0" borderId="54" xfId="0" applyFont="1" applyFill="1" applyBorder="1" applyAlignment="1">
      <alignment horizontal="center" vertical="top"/>
    </xf>
    <xf numFmtId="0" fontId="44" fillId="0" borderId="55" xfId="0" applyFont="1" applyFill="1" applyBorder="1" applyAlignment="1">
      <alignment horizontal="center" vertical="top" wrapText="1"/>
    </xf>
    <xf numFmtId="49" fontId="22" fillId="0" borderId="38" xfId="0" applyNumberFormat="1" applyFont="1" applyFill="1" applyBorder="1" applyAlignment="1">
      <alignment horizontal="center" vertical="top"/>
    </xf>
    <xf numFmtId="4" fontId="44" fillId="0" borderId="49" xfId="0" applyNumberFormat="1" applyFont="1" applyFill="1" applyBorder="1" applyAlignment="1">
      <alignment horizontal="right" vertical="top"/>
    </xf>
    <xf numFmtId="4" fontId="22" fillId="0" borderId="56" xfId="0" applyNumberFormat="1" applyFont="1" applyFill="1" applyBorder="1" applyAlignment="1">
      <alignment horizontal="right" vertical="top"/>
    </xf>
    <xf numFmtId="49" fontId="3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4" fontId="22" fillId="0" borderId="46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" fontId="22" fillId="0" borderId="59" xfId="0" applyNumberFormat="1" applyFont="1" applyFill="1" applyBorder="1" applyAlignment="1">
      <alignment horizontal="right" vertical="center"/>
    </xf>
    <xf numFmtId="49" fontId="22" fillId="0" borderId="60" xfId="0" applyNumberFormat="1" applyFont="1" applyFill="1" applyBorder="1" applyAlignment="1">
      <alignment horizontal="center" vertical="top"/>
    </xf>
    <xf numFmtId="0" fontId="44" fillId="0" borderId="61" xfId="0" applyFont="1" applyFill="1" applyBorder="1" applyAlignment="1">
      <alignment horizontal="center" vertical="top" wrapText="1"/>
    </xf>
    <xf numFmtId="0" fontId="22" fillId="0" borderId="62" xfId="0" applyFont="1" applyFill="1" applyBorder="1" applyAlignment="1">
      <alignment vertical="center" wrapText="1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vertical="top" wrapText="1"/>
    </xf>
    <xf numFmtId="0" fontId="22" fillId="0" borderId="63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4" fontId="32" fillId="0" borderId="66" xfId="0" applyNumberFormat="1" applyFont="1" applyFill="1" applyBorder="1" applyAlignment="1">
      <alignment horizontal="right" vertical="center"/>
    </xf>
    <xf numFmtId="4" fontId="44" fillId="0" borderId="37" xfId="0" applyNumberFormat="1" applyFont="1" applyFill="1" applyBorder="1" applyAlignment="1">
      <alignment horizontal="right" vertical="top"/>
    </xf>
    <xf numFmtId="4" fontId="22" fillId="0" borderId="37" xfId="0" applyNumberFormat="1" applyFont="1" applyFill="1" applyBorder="1" applyAlignment="1">
      <alignment horizontal="right" vertical="center"/>
    </xf>
    <xf numFmtId="4" fontId="31" fillId="0" borderId="47" xfId="0" applyNumberFormat="1" applyFont="1" applyFill="1" applyBorder="1" applyAlignment="1">
      <alignment horizontal="right" vertical="center"/>
    </xf>
    <xf numFmtId="4" fontId="22" fillId="0" borderId="67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right"/>
    </xf>
    <xf numFmtId="0" fontId="67" fillId="0" borderId="68" xfId="0" applyFont="1" applyFill="1" applyBorder="1" applyAlignment="1">
      <alignment horizontal="center" vertical="top"/>
    </xf>
    <xf numFmtId="0" fontId="67" fillId="0" borderId="57" xfId="0" applyFont="1" applyFill="1" applyBorder="1" applyAlignment="1">
      <alignment horizontal="center" vertical="top"/>
    </xf>
    <xf numFmtId="49" fontId="22" fillId="0" borderId="57" xfId="0" applyNumberFormat="1" applyFont="1" applyFill="1" applyBorder="1" applyAlignment="1">
      <alignment horizontal="center" vertical="top"/>
    </xf>
    <xf numFmtId="4" fontId="22" fillId="0" borderId="69" xfId="0" applyNumberFormat="1" applyFont="1" applyFill="1" applyBorder="1" applyAlignment="1">
      <alignment horizontal="right" vertical="top"/>
    </xf>
    <xf numFmtId="4" fontId="22" fillId="0" borderId="70" xfId="0" applyNumberFormat="1" applyFont="1" applyFill="1" applyBorder="1" applyAlignment="1">
      <alignment horizontal="right" vertical="center"/>
    </xf>
    <xf numFmtId="4" fontId="22" fillId="0" borderId="71" xfId="0" applyNumberFormat="1" applyFont="1" applyFill="1" applyBorder="1" applyAlignment="1">
      <alignment horizontal="right" vertical="center"/>
    </xf>
    <xf numFmtId="4" fontId="22" fillId="0" borderId="58" xfId="0" applyNumberFormat="1" applyFont="1" applyFill="1" applyBorder="1" applyAlignment="1">
      <alignment horizontal="right" vertical="center"/>
    </xf>
    <xf numFmtId="4" fontId="22" fillId="0" borderId="72" xfId="0" applyNumberFormat="1" applyFont="1" applyFill="1" applyBorder="1" applyAlignment="1">
      <alignment horizontal="right" vertical="center"/>
    </xf>
    <xf numFmtId="4" fontId="22" fillId="0" borderId="58" xfId="0" applyNumberFormat="1" applyFont="1" applyFill="1" applyBorder="1" applyAlignment="1">
      <alignment horizontal="right" vertical="top"/>
    </xf>
    <xf numFmtId="4" fontId="22" fillId="0" borderId="72" xfId="0" applyNumberFormat="1" applyFont="1" applyFill="1" applyBorder="1" applyAlignment="1">
      <alignment horizontal="right" vertical="top"/>
    </xf>
    <xf numFmtId="4" fontId="22" fillId="0" borderId="59" xfId="0" applyNumberFormat="1" applyFont="1" applyFill="1" applyBorder="1" applyAlignment="1">
      <alignment horizontal="right" vertical="top"/>
    </xf>
    <xf numFmtId="4" fontId="64" fillId="21" borderId="0" xfId="0" applyNumberFormat="1" applyFont="1" applyFill="1" applyBorder="1" applyAlignment="1">
      <alignment horizontal="right" vertical="center"/>
    </xf>
    <xf numFmtId="4" fontId="22" fillId="0" borderId="73" xfId="0" applyNumberFormat="1" applyFont="1" applyFill="1" applyBorder="1" applyAlignment="1">
      <alignment horizontal="right" vertical="top"/>
    </xf>
    <xf numFmtId="4" fontId="64" fillId="21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4" fontId="30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left" vertical="top" wrapText="1"/>
    </xf>
    <xf numFmtId="0" fontId="22" fillId="0" borderId="58" xfId="0" applyFont="1" applyFill="1" applyBorder="1" applyAlignment="1">
      <alignment horizontal="left" vertical="top" wrapText="1"/>
    </xf>
    <xf numFmtId="0" fontId="22" fillId="0" borderId="73" xfId="0" applyFont="1" applyFill="1" applyBorder="1" applyAlignment="1">
      <alignment horizontal="left" vertical="top" wrapText="1"/>
    </xf>
    <xf numFmtId="0" fontId="22" fillId="0" borderId="69" xfId="0" applyFont="1" applyFill="1" applyBorder="1" applyAlignment="1">
      <alignment horizontal="center" wrapText="1"/>
    </xf>
    <xf numFmtId="0" fontId="22" fillId="0" borderId="58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l_1_dochod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zoomScale="85" zoomScaleNormal="85" zoomScaleSheetLayoutView="80" zoomScalePageLayoutView="0" workbookViewId="0" topLeftCell="B31">
      <selection activeCell="E32" sqref="E32"/>
    </sheetView>
  </sheetViews>
  <sheetFormatPr defaultColWidth="9.140625" defaultRowHeight="12.75"/>
  <cols>
    <col min="1" max="1" width="2.140625" style="1" customWidth="1"/>
    <col min="2" max="2" width="5.00390625" style="2" customWidth="1"/>
    <col min="3" max="3" width="5.8515625" style="3" customWidth="1"/>
    <col min="4" max="4" width="21.28125" style="1" customWidth="1"/>
    <col min="5" max="5" width="98.57421875" style="1" customWidth="1"/>
    <col min="6" max="6" width="20.140625" style="1" customWidth="1"/>
    <col min="7" max="7" width="11.57421875" style="1" customWidth="1"/>
    <col min="8" max="8" width="11.28125" style="1" customWidth="1"/>
    <col min="9" max="9" width="15.57421875" style="1" customWidth="1"/>
    <col min="10" max="16384" width="9.140625" style="1" customWidth="1"/>
  </cols>
  <sheetData>
    <row r="1" spans="2:6" ht="18.75" customHeight="1">
      <c r="B1" s="4"/>
      <c r="C1" s="5"/>
      <c r="F1" s="6" t="s">
        <v>96</v>
      </c>
    </row>
    <row r="2" spans="2:6" ht="14.25">
      <c r="B2" s="4"/>
      <c r="C2" s="5"/>
      <c r="F2" s="7" t="s">
        <v>97</v>
      </c>
    </row>
    <row r="3" spans="2:6" ht="14.25">
      <c r="B3" s="4"/>
      <c r="C3" s="5"/>
      <c r="D3" s="8"/>
      <c r="E3" s="9" t="s">
        <v>9</v>
      </c>
      <c r="F3" s="6" t="s">
        <v>10</v>
      </c>
    </row>
    <row r="4" spans="2:6" ht="14.25">
      <c r="B4" s="4"/>
      <c r="C4" s="5"/>
      <c r="F4" s="6"/>
    </row>
    <row r="5" spans="2:6" ht="14.25">
      <c r="B5" s="4"/>
      <c r="C5" s="5"/>
      <c r="D5" s="1" t="s">
        <v>11</v>
      </c>
      <c r="E5" s="10">
        <v>2874522</v>
      </c>
      <c r="F5" s="6"/>
    </row>
    <row r="6" spans="2:6" ht="14.25">
      <c r="B6" s="4"/>
      <c r="C6" s="5"/>
      <c r="D6" s="1" t="s">
        <v>12</v>
      </c>
      <c r="E6" s="10">
        <f>4055450+1188000</f>
        <v>5243450</v>
      </c>
      <c r="F6" s="6" t="s">
        <v>13</v>
      </c>
    </row>
    <row r="7" spans="2:6" s="11" customFormat="1" ht="14.25">
      <c r="B7" s="4"/>
      <c r="C7" s="5"/>
      <c r="D7" s="12"/>
      <c r="E7" s="13">
        <f>E5+E6</f>
        <v>8117972</v>
      </c>
      <c r="F7" s="6"/>
    </row>
    <row r="8" spans="2:6" s="11" customFormat="1" ht="18.75" customHeight="1">
      <c r="B8" s="4"/>
      <c r="C8" s="5"/>
      <c r="D8" s="14"/>
      <c r="E8" s="15"/>
      <c r="F8" s="6"/>
    </row>
    <row r="9" spans="2:8" s="11" customFormat="1" ht="24" customHeight="1">
      <c r="B9" s="16"/>
      <c r="C9" s="17"/>
      <c r="D9" s="18"/>
      <c r="E9" s="19" t="s">
        <v>14</v>
      </c>
      <c r="F9" s="20"/>
      <c r="H9" s="11" t="s">
        <v>15</v>
      </c>
    </row>
    <row r="10" spans="2:6" s="11" customFormat="1" ht="21" customHeight="1">
      <c r="B10" s="21"/>
      <c r="C10" s="22"/>
      <c r="D10" s="23"/>
      <c r="E10" s="24"/>
      <c r="F10" s="25" t="s">
        <v>16</v>
      </c>
    </row>
    <row r="11" spans="2:6" s="11" customFormat="1" ht="12.75" customHeight="1">
      <c r="B11" s="26" t="s">
        <v>17</v>
      </c>
      <c r="C11" s="27"/>
      <c r="D11" s="28" t="s">
        <v>18</v>
      </c>
      <c r="E11" s="29"/>
      <c r="F11" s="462" t="s">
        <v>19</v>
      </c>
    </row>
    <row r="12" spans="2:6" s="11" customFormat="1" ht="14.25">
      <c r="B12" s="30"/>
      <c r="C12" s="31" t="s">
        <v>20</v>
      </c>
      <c r="D12" s="32" t="s">
        <v>388</v>
      </c>
      <c r="E12" s="33"/>
      <c r="F12" s="462"/>
    </row>
    <row r="13" spans="2:6" s="11" customFormat="1" ht="24">
      <c r="B13" s="30"/>
      <c r="C13" s="31" t="s">
        <v>389</v>
      </c>
      <c r="D13" s="34" t="s">
        <v>390</v>
      </c>
      <c r="E13" s="33" t="s">
        <v>391</v>
      </c>
      <c r="F13" s="462"/>
    </row>
    <row r="14" spans="2:6" s="11" customFormat="1" ht="14.25">
      <c r="B14" s="30"/>
      <c r="C14" s="31"/>
      <c r="D14" s="35"/>
      <c r="E14" s="33"/>
      <c r="F14" s="462"/>
    </row>
    <row r="15" spans="2:6" s="11" customFormat="1" ht="14.25">
      <c r="B15" s="36"/>
      <c r="C15" s="37"/>
      <c r="D15" s="38"/>
      <c r="E15" s="39"/>
      <c r="F15" s="462"/>
    </row>
    <row r="16" spans="2:6" s="40" customFormat="1" ht="14.25">
      <c r="B16" s="41"/>
      <c r="C16" s="42"/>
      <c r="D16" s="43">
        <v>1</v>
      </c>
      <c r="E16" s="44">
        <v>2</v>
      </c>
      <c r="F16" s="45">
        <v>3</v>
      </c>
    </row>
    <row r="17" spans="2:6" s="46" customFormat="1" ht="15.75">
      <c r="B17" s="47"/>
      <c r="C17" s="48"/>
      <c r="D17" s="49" t="s">
        <v>392</v>
      </c>
      <c r="E17" s="50"/>
      <c r="F17" s="51">
        <f>F18+F286</f>
        <v>763034625</v>
      </c>
    </row>
    <row r="18" spans="2:7" s="52" customFormat="1" ht="15.75">
      <c r="B18" s="53"/>
      <c r="C18" s="54"/>
      <c r="D18" s="55" t="s">
        <v>393</v>
      </c>
      <c r="E18" s="56"/>
      <c r="F18" s="57">
        <f>F20+F282</f>
        <v>570935016</v>
      </c>
      <c r="G18" s="46"/>
    </row>
    <row r="19" spans="2:7" s="40" customFormat="1" ht="15.75">
      <c r="B19" s="58"/>
      <c r="C19" s="59"/>
      <c r="D19" s="60" t="s">
        <v>394</v>
      </c>
      <c r="E19" s="61"/>
      <c r="F19" s="62"/>
      <c r="G19" s="46"/>
    </row>
    <row r="20" spans="2:7" s="52" customFormat="1" ht="15.75">
      <c r="B20" s="53"/>
      <c r="C20" s="47"/>
      <c r="D20" s="63" t="s">
        <v>395</v>
      </c>
      <c r="E20" s="64"/>
      <c r="F20" s="57">
        <f>F21+F24+F75+F87+F99+F104+F115+F122+F130+F149+F159+F167+F174+F214+F237+F247</f>
        <v>570935016</v>
      </c>
      <c r="G20" s="46"/>
    </row>
    <row r="21" spans="2:7" s="40" customFormat="1" ht="14.25" customHeight="1" hidden="1">
      <c r="B21" s="65"/>
      <c r="C21" s="66"/>
      <c r="D21" s="67" t="s">
        <v>396</v>
      </c>
      <c r="E21" s="61" t="s">
        <v>24</v>
      </c>
      <c r="F21" s="68">
        <f>F22</f>
        <v>0</v>
      </c>
      <c r="G21" s="46"/>
    </row>
    <row r="22" spans="2:7" s="40" customFormat="1" ht="14.25" customHeight="1" hidden="1">
      <c r="B22" s="58"/>
      <c r="C22" s="59"/>
      <c r="D22" s="67" t="s">
        <v>25</v>
      </c>
      <c r="E22" s="69" t="s">
        <v>26</v>
      </c>
      <c r="F22" s="68">
        <f>F23</f>
        <v>0</v>
      </c>
      <c r="G22" s="46"/>
    </row>
    <row r="23" spans="2:7" s="70" customFormat="1" ht="14.25" customHeight="1" hidden="1">
      <c r="B23" s="71" t="s">
        <v>27</v>
      </c>
      <c r="C23" s="72" t="s">
        <v>28</v>
      </c>
      <c r="D23" s="73" t="s">
        <v>29</v>
      </c>
      <c r="E23" s="74" t="s">
        <v>30</v>
      </c>
      <c r="F23" s="75"/>
      <c r="G23" s="46"/>
    </row>
    <row r="24" spans="2:7" s="76" customFormat="1" ht="15.75" customHeight="1">
      <c r="B24" s="77"/>
      <c r="C24" s="78"/>
      <c r="D24" s="79">
        <v>600</v>
      </c>
      <c r="E24" s="80" t="s">
        <v>31</v>
      </c>
      <c r="F24" s="81">
        <f>F25+F39+F66</f>
        <v>142937549</v>
      </c>
      <c r="G24" s="82"/>
    </row>
    <row r="25" spans="2:7" s="76" customFormat="1" ht="15.75">
      <c r="B25" s="83"/>
      <c r="C25" s="84"/>
      <c r="D25" s="79">
        <v>60004</v>
      </c>
      <c r="E25" s="85" t="s">
        <v>32</v>
      </c>
      <c r="F25" s="81">
        <f>F26</f>
        <v>65906136</v>
      </c>
      <c r="G25" s="82"/>
    </row>
    <row r="26" spans="2:7" s="76" customFormat="1" ht="15.75">
      <c r="B26" s="86"/>
      <c r="C26" s="87"/>
      <c r="D26" s="88"/>
      <c r="E26" s="89" t="s">
        <v>33</v>
      </c>
      <c r="F26" s="90">
        <f>SUM(F27:F38)</f>
        <v>65906136</v>
      </c>
      <c r="G26" s="82"/>
    </row>
    <row r="27" spans="2:7" s="70" customFormat="1" ht="13.5" customHeight="1" hidden="1">
      <c r="B27" s="71" t="s">
        <v>27</v>
      </c>
      <c r="C27" s="72" t="s">
        <v>28</v>
      </c>
      <c r="D27" s="91" t="s">
        <v>34</v>
      </c>
      <c r="E27" s="92" t="s">
        <v>35</v>
      </c>
      <c r="F27" s="93"/>
      <c r="G27" s="46"/>
    </row>
    <row r="28" spans="2:8" s="94" customFormat="1" ht="15.75">
      <c r="B28" s="95" t="s">
        <v>27</v>
      </c>
      <c r="C28" s="96" t="s">
        <v>28</v>
      </c>
      <c r="D28" s="97" t="s">
        <v>36</v>
      </c>
      <c r="E28" s="98" t="s">
        <v>100</v>
      </c>
      <c r="F28" s="99">
        <f>200000+57500</f>
        <v>257500</v>
      </c>
      <c r="G28" s="82"/>
      <c r="H28" s="94">
        <v>57500</v>
      </c>
    </row>
    <row r="29" spans="2:7" s="94" customFormat="1" ht="15.75">
      <c r="B29" s="95" t="s">
        <v>27</v>
      </c>
      <c r="C29" s="96" t="s">
        <v>28</v>
      </c>
      <c r="D29" s="97" t="s">
        <v>101</v>
      </c>
      <c r="E29" s="100" t="s">
        <v>102</v>
      </c>
      <c r="F29" s="99">
        <v>13000000</v>
      </c>
      <c r="G29" s="82" t="s">
        <v>103</v>
      </c>
    </row>
    <row r="30" spans="2:7" s="94" customFormat="1" ht="15.75">
      <c r="B30" s="95" t="s">
        <v>104</v>
      </c>
      <c r="C30" s="96" t="s">
        <v>28</v>
      </c>
      <c r="D30" s="97" t="s">
        <v>40</v>
      </c>
      <c r="E30" s="98" t="s">
        <v>41</v>
      </c>
      <c r="F30" s="99">
        <v>100000</v>
      </c>
      <c r="G30" s="82"/>
    </row>
    <row r="31" spans="2:7" s="94" customFormat="1" ht="15.75">
      <c r="B31" s="95" t="s">
        <v>27</v>
      </c>
      <c r="C31" s="96" t="s">
        <v>28</v>
      </c>
      <c r="D31" s="97" t="s">
        <v>42</v>
      </c>
      <c r="E31" s="98" t="s">
        <v>43</v>
      </c>
      <c r="F31" s="99">
        <v>600000</v>
      </c>
      <c r="G31" s="82"/>
    </row>
    <row r="32" spans="2:7" s="94" customFormat="1" ht="15.75">
      <c r="B32" s="95" t="s">
        <v>27</v>
      </c>
      <c r="C32" s="96" t="s">
        <v>28</v>
      </c>
      <c r="D32" s="97" t="s">
        <v>44</v>
      </c>
      <c r="E32" s="98" t="s">
        <v>45</v>
      </c>
      <c r="F32" s="99">
        <v>590921</v>
      </c>
      <c r="G32" s="82"/>
    </row>
    <row r="33" spans="2:7" s="94" customFormat="1" ht="15.75">
      <c r="B33" s="95" t="s">
        <v>27</v>
      </c>
      <c r="C33" s="96" t="s">
        <v>28</v>
      </c>
      <c r="D33" s="97" t="s">
        <v>46</v>
      </c>
      <c r="E33" s="100" t="s">
        <v>364</v>
      </c>
      <c r="F33" s="99">
        <v>9300000</v>
      </c>
      <c r="G33" s="82" t="s">
        <v>103</v>
      </c>
    </row>
    <row r="34" spans="2:7" s="94" customFormat="1" ht="22.5">
      <c r="B34" s="95" t="s">
        <v>27</v>
      </c>
      <c r="C34" s="96" t="s">
        <v>28</v>
      </c>
      <c r="D34" s="97" t="s">
        <v>365</v>
      </c>
      <c r="E34" s="100" t="s">
        <v>366</v>
      </c>
      <c r="F34" s="99">
        <v>18000000</v>
      </c>
      <c r="G34" s="82" t="s">
        <v>103</v>
      </c>
    </row>
    <row r="35" spans="2:7" s="94" customFormat="1" ht="15.75">
      <c r="B35" s="95" t="s">
        <v>27</v>
      </c>
      <c r="C35" s="96" t="s">
        <v>28</v>
      </c>
      <c r="D35" s="97" t="s">
        <v>367</v>
      </c>
      <c r="E35" s="100" t="s">
        <v>368</v>
      </c>
      <c r="F35" s="99">
        <v>500000</v>
      </c>
      <c r="G35" s="82" t="s">
        <v>103</v>
      </c>
    </row>
    <row r="36" spans="2:7" s="94" customFormat="1" ht="15.75">
      <c r="B36" s="95" t="s">
        <v>27</v>
      </c>
      <c r="C36" s="96" t="s">
        <v>28</v>
      </c>
      <c r="D36" s="97" t="s">
        <v>369</v>
      </c>
      <c r="E36" s="100" t="s">
        <v>47</v>
      </c>
      <c r="F36" s="99">
        <v>4000000</v>
      </c>
      <c r="G36" s="82" t="s">
        <v>103</v>
      </c>
    </row>
    <row r="37" spans="2:7" s="94" customFormat="1" ht="15.75">
      <c r="B37" s="95" t="s">
        <v>27</v>
      </c>
      <c r="C37" s="96" t="s">
        <v>28</v>
      </c>
      <c r="D37" s="97" t="s">
        <v>48</v>
      </c>
      <c r="E37" s="98" t="s">
        <v>49</v>
      </c>
      <c r="F37" s="99">
        <v>17157715</v>
      </c>
      <c r="G37" s="101"/>
    </row>
    <row r="38" spans="2:7" s="94" customFormat="1" ht="15.75">
      <c r="B38" s="95" t="s">
        <v>27</v>
      </c>
      <c r="C38" s="96" t="s">
        <v>28</v>
      </c>
      <c r="D38" s="97" t="s">
        <v>50</v>
      </c>
      <c r="E38" s="98" t="s">
        <v>51</v>
      </c>
      <c r="F38" s="99">
        <v>2400000</v>
      </c>
      <c r="G38" s="101"/>
    </row>
    <row r="39" spans="2:7" s="76" customFormat="1" ht="15.75">
      <c r="B39" s="83"/>
      <c r="C39" s="84"/>
      <c r="D39" s="79">
        <v>60016</v>
      </c>
      <c r="E39" s="85" t="s">
        <v>52</v>
      </c>
      <c r="F39" s="81">
        <f>F40+F56+F61</f>
        <v>22616643</v>
      </c>
      <c r="G39" s="82"/>
    </row>
    <row r="40" spans="2:7" s="76" customFormat="1" ht="15.75">
      <c r="B40" s="86"/>
      <c r="C40" s="87"/>
      <c r="D40" s="88"/>
      <c r="E40" s="89" t="s">
        <v>53</v>
      </c>
      <c r="F40" s="90">
        <f>SUM(F41:F55)</f>
        <v>21299091</v>
      </c>
      <c r="G40" s="82"/>
    </row>
    <row r="41" spans="2:8" s="94" customFormat="1" ht="15.75">
      <c r="B41" s="95" t="s">
        <v>27</v>
      </c>
      <c r="C41" s="96" t="s">
        <v>28</v>
      </c>
      <c r="D41" s="97" t="s">
        <v>54</v>
      </c>
      <c r="E41" s="98" t="s">
        <v>55</v>
      </c>
      <c r="F41" s="99">
        <f>100000+1086160+1188000</f>
        <v>2374160</v>
      </c>
      <c r="G41" s="82"/>
      <c r="H41" s="94">
        <f>1086160+1188000</f>
        <v>2274160</v>
      </c>
    </row>
    <row r="42" spans="2:7" s="94" customFormat="1" ht="15.75">
      <c r="B42" s="95" t="s">
        <v>27</v>
      </c>
      <c r="C42" s="96" t="s">
        <v>28</v>
      </c>
      <c r="D42" s="97" t="s">
        <v>56</v>
      </c>
      <c r="E42" s="98" t="s">
        <v>57</v>
      </c>
      <c r="F42" s="99">
        <v>700000</v>
      </c>
      <c r="G42" s="82"/>
    </row>
    <row r="43" spans="2:7" s="94" customFormat="1" ht="15.75">
      <c r="B43" s="95" t="s">
        <v>27</v>
      </c>
      <c r="C43" s="96" t="s">
        <v>28</v>
      </c>
      <c r="D43" s="97" t="s">
        <v>58</v>
      </c>
      <c r="E43" s="98" t="s">
        <v>110</v>
      </c>
      <c r="F43" s="99">
        <v>5000000</v>
      </c>
      <c r="G43" s="82"/>
    </row>
    <row r="44" spans="2:8" s="94" customFormat="1" ht="15.75">
      <c r="B44" s="95" t="s">
        <v>27</v>
      </c>
      <c r="C44" s="96" t="s">
        <v>28</v>
      </c>
      <c r="D44" s="97" t="s">
        <v>111</v>
      </c>
      <c r="E44" s="98" t="s">
        <v>112</v>
      </c>
      <c r="F44" s="99">
        <f>450000+1274931</f>
        <v>1724931</v>
      </c>
      <c r="G44" s="101"/>
      <c r="H44" s="94">
        <v>1274931</v>
      </c>
    </row>
    <row r="45" spans="2:7" s="70" customFormat="1" ht="15.75" hidden="1">
      <c r="B45" s="71" t="s">
        <v>27</v>
      </c>
      <c r="C45" s="72" t="s">
        <v>28</v>
      </c>
      <c r="D45" s="73" t="s">
        <v>113</v>
      </c>
      <c r="E45" s="102" t="s">
        <v>114</v>
      </c>
      <c r="F45" s="75"/>
      <c r="G45" s="46"/>
    </row>
    <row r="46" spans="2:7" s="70" customFormat="1" ht="15.75" hidden="1">
      <c r="B46" s="71" t="s">
        <v>27</v>
      </c>
      <c r="C46" s="72" t="s">
        <v>28</v>
      </c>
      <c r="D46" s="73" t="s">
        <v>115</v>
      </c>
      <c r="E46" s="102" t="s">
        <v>116</v>
      </c>
      <c r="F46" s="75"/>
      <c r="G46" s="46"/>
    </row>
    <row r="47" spans="2:7" s="70" customFormat="1" ht="15.75" hidden="1">
      <c r="B47" s="71" t="s">
        <v>27</v>
      </c>
      <c r="C47" s="72" t="s">
        <v>117</v>
      </c>
      <c r="D47" s="73" t="s">
        <v>118</v>
      </c>
      <c r="E47" s="102" t="s">
        <v>119</v>
      </c>
      <c r="F47" s="75"/>
      <c r="G47" s="46"/>
    </row>
    <row r="48" spans="2:7" s="103" customFormat="1" ht="15.75" hidden="1">
      <c r="B48" s="104" t="s">
        <v>27</v>
      </c>
      <c r="C48" s="105" t="s">
        <v>28</v>
      </c>
      <c r="D48" s="97" t="s">
        <v>120</v>
      </c>
      <c r="E48" s="106" t="s">
        <v>121</v>
      </c>
      <c r="F48" s="107"/>
      <c r="G48" s="108"/>
    </row>
    <row r="49" spans="2:7" s="94" customFormat="1" ht="15.75">
      <c r="B49" s="95" t="s">
        <v>27</v>
      </c>
      <c r="C49" s="96" t="s">
        <v>28</v>
      </c>
      <c r="D49" s="97" t="s">
        <v>122</v>
      </c>
      <c r="E49" s="98" t="s">
        <v>123</v>
      </c>
      <c r="F49" s="99">
        <v>1000000</v>
      </c>
      <c r="G49" s="82"/>
    </row>
    <row r="50" spans="2:7" s="94" customFormat="1" ht="15.75">
      <c r="B50" s="95" t="s">
        <v>27</v>
      </c>
      <c r="C50" s="96" t="s">
        <v>117</v>
      </c>
      <c r="D50" s="97" t="s">
        <v>124</v>
      </c>
      <c r="E50" s="98" t="s">
        <v>125</v>
      </c>
      <c r="F50" s="99">
        <f>3000000-2661324</f>
        <v>338676</v>
      </c>
      <c r="G50" s="82"/>
    </row>
    <row r="51" spans="2:7" s="94" customFormat="1" ht="15.75">
      <c r="B51" s="95" t="s">
        <v>27</v>
      </c>
      <c r="C51" s="96" t="s">
        <v>117</v>
      </c>
      <c r="D51" s="97" t="s">
        <v>126</v>
      </c>
      <c r="E51" s="100" t="s">
        <v>127</v>
      </c>
      <c r="F51" s="99">
        <v>4500000</v>
      </c>
      <c r="G51" s="82"/>
    </row>
    <row r="52" spans="2:7" s="94" customFormat="1" ht="15.75">
      <c r="B52" s="95" t="s">
        <v>27</v>
      </c>
      <c r="C52" s="96" t="s">
        <v>117</v>
      </c>
      <c r="D52" s="97" t="s">
        <v>128</v>
      </c>
      <c r="E52" s="100" t="s">
        <v>129</v>
      </c>
      <c r="F52" s="99">
        <f>1000000+516200</f>
        <v>1516200</v>
      </c>
      <c r="G52" s="82"/>
    </row>
    <row r="53" spans="2:7" s="94" customFormat="1" ht="15.75">
      <c r="B53" s="95" t="s">
        <v>27</v>
      </c>
      <c r="C53" s="96" t="s">
        <v>28</v>
      </c>
      <c r="D53" s="97" t="s">
        <v>130</v>
      </c>
      <c r="E53" s="100" t="s">
        <v>131</v>
      </c>
      <c r="F53" s="99">
        <v>1500000</v>
      </c>
      <c r="G53" s="82" t="s">
        <v>103</v>
      </c>
    </row>
    <row r="54" spans="2:7" s="94" customFormat="1" ht="15.75">
      <c r="B54" s="95" t="s">
        <v>27</v>
      </c>
      <c r="C54" s="96" t="s">
        <v>117</v>
      </c>
      <c r="D54" s="97" t="s">
        <v>132</v>
      </c>
      <c r="E54" s="100" t="s">
        <v>133</v>
      </c>
      <c r="F54" s="99">
        <v>2145124</v>
      </c>
      <c r="G54" s="82"/>
    </row>
    <row r="55" spans="2:7" s="109" customFormat="1" ht="14.25" customHeight="1">
      <c r="B55" s="95" t="s">
        <v>27</v>
      </c>
      <c r="C55" s="96" t="s">
        <v>117</v>
      </c>
      <c r="D55" s="97" t="s">
        <v>134</v>
      </c>
      <c r="E55" s="98" t="s">
        <v>135</v>
      </c>
      <c r="F55" s="99">
        <v>500000</v>
      </c>
      <c r="G55" s="110"/>
    </row>
    <row r="56" spans="2:7" s="94" customFormat="1" ht="15.75">
      <c r="B56" s="111"/>
      <c r="C56" s="87"/>
      <c r="D56" s="97"/>
      <c r="E56" s="89" t="s">
        <v>136</v>
      </c>
      <c r="F56" s="112">
        <f>SUM(F57:F60)</f>
        <v>317552</v>
      </c>
      <c r="G56" s="82"/>
    </row>
    <row r="57" spans="2:7" s="94" customFormat="1" ht="15.75">
      <c r="B57" s="95" t="s">
        <v>27</v>
      </c>
      <c r="C57" s="113" t="s">
        <v>28</v>
      </c>
      <c r="D57" s="97" t="s">
        <v>137</v>
      </c>
      <c r="E57" s="98" t="s">
        <v>138</v>
      </c>
      <c r="F57" s="112">
        <v>16700</v>
      </c>
      <c r="G57" s="82"/>
    </row>
    <row r="58" spans="2:7" s="94" customFormat="1" ht="15.75">
      <c r="B58" s="95" t="s">
        <v>27</v>
      </c>
      <c r="C58" s="113" t="s">
        <v>28</v>
      </c>
      <c r="D58" s="97" t="s">
        <v>139</v>
      </c>
      <c r="E58" s="98" t="s">
        <v>140</v>
      </c>
      <c r="F58" s="99">
        <v>120000</v>
      </c>
      <c r="G58" s="82"/>
    </row>
    <row r="59" spans="2:7" s="70" customFormat="1" ht="15.75">
      <c r="B59" s="95" t="s">
        <v>27</v>
      </c>
      <c r="C59" s="113" t="s">
        <v>117</v>
      </c>
      <c r="D59" s="97" t="s">
        <v>141</v>
      </c>
      <c r="E59" s="98" t="s">
        <v>142</v>
      </c>
      <c r="F59" s="99">
        <v>110852</v>
      </c>
      <c r="G59" s="46"/>
    </row>
    <row r="60" spans="2:7" s="70" customFormat="1" ht="15.75">
      <c r="B60" s="95" t="s">
        <v>27</v>
      </c>
      <c r="C60" s="113" t="s">
        <v>117</v>
      </c>
      <c r="D60" s="97" t="s">
        <v>143</v>
      </c>
      <c r="E60" s="98" t="s">
        <v>144</v>
      </c>
      <c r="F60" s="99">
        <v>70000</v>
      </c>
      <c r="G60" s="46"/>
    </row>
    <row r="61" spans="2:7" s="114" customFormat="1" ht="12.75">
      <c r="B61" s="115"/>
      <c r="C61" s="115"/>
      <c r="D61" s="116"/>
      <c r="E61" s="117" t="s">
        <v>145</v>
      </c>
      <c r="F61" s="118">
        <f>F62</f>
        <v>1000000</v>
      </c>
      <c r="G61" s="119"/>
    </row>
    <row r="62" spans="2:7" s="120" customFormat="1" ht="15.75">
      <c r="B62" s="121" t="s">
        <v>146</v>
      </c>
      <c r="C62" s="122"/>
      <c r="D62" s="123" t="s">
        <v>147</v>
      </c>
      <c r="E62" s="124" t="s">
        <v>148</v>
      </c>
      <c r="F62" s="125">
        <v>1000000</v>
      </c>
      <c r="G62" s="126"/>
    </row>
    <row r="63" spans="2:7" s="40" customFormat="1" ht="14.25" customHeight="1" hidden="1">
      <c r="B63" s="127"/>
      <c r="C63" s="128"/>
      <c r="D63" s="67">
        <v>60017</v>
      </c>
      <c r="E63" s="69" t="s">
        <v>149</v>
      </c>
      <c r="F63" s="68"/>
      <c r="G63" s="46"/>
    </row>
    <row r="64" spans="2:7" s="40" customFormat="1" ht="14.25" customHeight="1" hidden="1">
      <c r="B64" s="71"/>
      <c r="C64" s="72"/>
      <c r="D64" s="73"/>
      <c r="E64" s="129" t="s">
        <v>53</v>
      </c>
      <c r="F64" s="130"/>
      <c r="G64" s="46"/>
    </row>
    <row r="65" spans="2:7" s="70" customFormat="1" ht="15.75" hidden="1">
      <c r="B65" s="71"/>
      <c r="C65" s="72"/>
      <c r="D65" s="73" t="s">
        <v>150</v>
      </c>
      <c r="E65" s="74" t="s">
        <v>151</v>
      </c>
      <c r="F65" s="75"/>
      <c r="G65" s="131"/>
    </row>
    <row r="66" spans="2:7" s="76" customFormat="1" ht="15.75">
      <c r="B66" s="83"/>
      <c r="C66" s="84"/>
      <c r="D66" s="79">
        <v>60095</v>
      </c>
      <c r="E66" s="85" t="s">
        <v>153</v>
      </c>
      <c r="F66" s="81">
        <f>F67+F69+F71</f>
        <v>54414770</v>
      </c>
      <c r="G66" s="82"/>
    </row>
    <row r="67" spans="2:7" s="40" customFormat="1" ht="15.75">
      <c r="B67" s="30"/>
      <c r="C67" s="132"/>
      <c r="D67" s="133"/>
      <c r="E67" s="89" t="s">
        <v>33</v>
      </c>
      <c r="F67" s="134">
        <f>F68</f>
        <v>2500000</v>
      </c>
      <c r="G67" s="46"/>
    </row>
    <row r="68" spans="2:7" s="76" customFormat="1" ht="15.75">
      <c r="B68" s="95" t="s">
        <v>27</v>
      </c>
      <c r="C68" s="135" t="s">
        <v>28</v>
      </c>
      <c r="D68" s="97" t="s">
        <v>154</v>
      </c>
      <c r="E68" s="98" t="s">
        <v>155</v>
      </c>
      <c r="F68" s="136">
        <v>2500000</v>
      </c>
      <c r="G68" s="82"/>
    </row>
    <row r="69" spans="2:7" s="76" customFormat="1" ht="15.75">
      <c r="B69" s="111"/>
      <c r="C69" s="87"/>
      <c r="D69" s="97"/>
      <c r="E69" s="89" t="s">
        <v>53</v>
      </c>
      <c r="F69" s="112">
        <f>F70</f>
        <v>48914770</v>
      </c>
      <c r="G69" s="82"/>
    </row>
    <row r="70" spans="2:7" s="94" customFormat="1" ht="15.75">
      <c r="B70" s="95" t="s">
        <v>27</v>
      </c>
      <c r="C70" s="113" t="s">
        <v>28</v>
      </c>
      <c r="D70" s="97" t="s">
        <v>134</v>
      </c>
      <c r="E70" s="98" t="s">
        <v>49</v>
      </c>
      <c r="F70" s="99">
        <v>48914770</v>
      </c>
      <c r="G70" s="82"/>
    </row>
    <row r="71" spans="2:7" s="76" customFormat="1" ht="17.25" customHeight="1">
      <c r="B71" s="111"/>
      <c r="C71" s="87"/>
      <c r="D71" s="97"/>
      <c r="E71" s="137" t="s">
        <v>145</v>
      </c>
      <c r="F71" s="112">
        <f>F72+F73+F74</f>
        <v>3000000</v>
      </c>
      <c r="G71" s="82"/>
    </row>
    <row r="72" spans="2:7" s="138" customFormat="1" ht="17.25" customHeight="1">
      <c r="B72" s="139" t="s">
        <v>27</v>
      </c>
      <c r="C72" s="139" t="s">
        <v>117</v>
      </c>
      <c r="D72" s="97" t="s">
        <v>156</v>
      </c>
      <c r="E72" s="140" t="s">
        <v>157</v>
      </c>
      <c r="F72" s="99">
        <v>500000</v>
      </c>
      <c r="G72" s="141"/>
    </row>
    <row r="73" spans="2:7" s="138" customFormat="1" ht="24.75" customHeight="1">
      <c r="B73" s="87" t="s">
        <v>27</v>
      </c>
      <c r="C73" s="87" t="s">
        <v>117</v>
      </c>
      <c r="D73" s="97" t="s">
        <v>158</v>
      </c>
      <c r="E73" s="140" t="s">
        <v>159</v>
      </c>
      <c r="F73" s="99">
        <f>500000+500000-500000</f>
        <v>500000</v>
      </c>
      <c r="G73" s="141"/>
    </row>
    <row r="74" spans="2:7" s="138" customFormat="1" ht="24.75" customHeight="1">
      <c r="B74" s="142" t="s">
        <v>27</v>
      </c>
      <c r="C74" s="142" t="s">
        <v>117</v>
      </c>
      <c r="D74" s="123" t="s">
        <v>160</v>
      </c>
      <c r="E74" s="143" t="s">
        <v>161</v>
      </c>
      <c r="F74" s="125">
        <v>2000000</v>
      </c>
      <c r="G74" s="141"/>
    </row>
    <row r="75" spans="2:7" s="76" customFormat="1" ht="15.75" customHeight="1">
      <c r="B75" s="77"/>
      <c r="C75" s="78"/>
      <c r="D75" s="79">
        <v>700</v>
      </c>
      <c r="E75" s="80" t="s">
        <v>162</v>
      </c>
      <c r="F75" s="81">
        <f>F76+F82</f>
        <v>15216616</v>
      </c>
      <c r="G75" s="82"/>
    </row>
    <row r="76" spans="2:7" s="76" customFormat="1" ht="14.25" customHeight="1" hidden="1">
      <c r="B76" s="83"/>
      <c r="C76" s="84"/>
      <c r="D76" s="79">
        <v>70001</v>
      </c>
      <c r="E76" s="85" t="s">
        <v>163</v>
      </c>
      <c r="F76" s="81">
        <f>F77+F78+F79+F80+F81</f>
        <v>0</v>
      </c>
      <c r="G76" s="82"/>
    </row>
    <row r="77" spans="2:7" s="94" customFormat="1" ht="14.25" customHeight="1" hidden="1">
      <c r="B77" s="95" t="s">
        <v>164</v>
      </c>
      <c r="C77" s="144"/>
      <c r="D77" s="97" t="s">
        <v>165</v>
      </c>
      <c r="E77" s="98" t="s">
        <v>166</v>
      </c>
      <c r="F77" s="99"/>
      <c r="G77" s="82"/>
    </row>
    <row r="78" spans="2:7" s="94" customFormat="1" ht="14.25" customHeight="1" hidden="1">
      <c r="B78" s="95" t="s">
        <v>164</v>
      </c>
      <c r="C78" s="144"/>
      <c r="D78" s="97" t="s">
        <v>167</v>
      </c>
      <c r="E78" s="98" t="s">
        <v>168</v>
      </c>
      <c r="F78" s="99"/>
      <c r="G78" s="82"/>
    </row>
    <row r="79" spans="2:7" s="94" customFormat="1" ht="14.25" customHeight="1" hidden="1">
      <c r="B79" s="95" t="s">
        <v>164</v>
      </c>
      <c r="C79" s="144"/>
      <c r="D79" s="97" t="s">
        <v>193</v>
      </c>
      <c r="E79" s="98" t="s">
        <v>194</v>
      </c>
      <c r="F79" s="99"/>
      <c r="G79" s="82"/>
    </row>
    <row r="80" spans="2:7" s="94" customFormat="1" ht="14.25" customHeight="1" hidden="1">
      <c r="B80" s="95" t="s">
        <v>164</v>
      </c>
      <c r="C80" s="144"/>
      <c r="D80" s="97" t="s">
        <v>195</v>
      </c>
      <c r="E80" s="98" t="s">
        <v>196</v>
      </c>
      <c r="F80" s="99"/>
      <c r="G80" s="82"/>
    </row>
    <row r="81" spans="2:7" s="94" customFormat="1" ht="14.25" customHeight="1" hidden="1">
      <c r="B81" s="95" t="s">
        <v>164</v>
      </c>
      <c r="C81" s="144"/>
      <c r="D81" s="97" t="s">
        <v>197</v>
      </c>
      <c r="E81" s="98" t="s">
        <v>198</v>
      </c>
      <c r="F81" s="99"/>
      <c r="G81" s="82"/>
    </row>
    <row r="82" spans="2:7" s="76" customFormat="1" ht="15.75">
      <c r="B82" s="83"/>
      <c r="C82" s="84"/>
      <c r="D82" s="79">
        <v>70005</v>
      </c>
      <c r="E82" s="145" t="s">
        <v>199</v>
      </c>
      <c r="F82" s="81">
        <f>SUM(F83:F86)</f>
        <v>15216616</v>
      </c>
      <c r="G82" s="82"/>
    </row>
    <row r="83" spans="2:7" s="146" customFormat="1" ht="15.75">
      <c r="B83" s="95" t="s">
        <v>104</v>
      </c>
      <c r="C83" s="144" t="s">
        <v>28</v>
      </c>
      <c r="D83" s="97" t="s">
        <v>200</v>
      </c>
      <c r="E83" s="98" t="s">
        <v>201</v>
      </c>
      <c r="F83" s="99">
        <v>7000000</v>
      </c>
      <c r="G83" s="82"/>
    </row>
    <row r="84" spans="2:7" s="146" customFormat="1" ht="22.5" customHeight="1">
      <c r="B84" s="95" t="s">
        <v>27</v>
      </c>
      <c r="C84" s="96" t="s">
        <v>202</v>
      </c>
      <c r="D84" s="97" t="s">
        <v>203</v>
      </c>
      <c r="E84" s="100" t="s">
        <v>204</v>
      </c>
      <c r="F84" s="99">
        <v>4000000</v>
      </c>
      <c r="G84" s="82"/>
    </row>
    <row r="85" spans="2:7" s="146" customFormat="1" ht="22.5" customHeight="1">
      <c r="B85" s="95" t="s">
        <v>27</v>
      </c>
      <c r="C85" s="96" t="s">
        <v>205</v>
      </c>
      <c r="D85" s="97" t="s">
        <v>206</v>
      </c>
      <c r="E85" s="100" t="s">
        <v>518</v>
      </c>
      <c r="F85" s="99">
        <v>3966616</v>
      </c>
      <c r="G85" s="82"/>
    </row>
    <row r="86" spans="2:7" s="138" customFormat="1" ht="18.75" customHeight="1">
      <c r="B86" s="87" t="s">
        <v>27</v>
      </c>
      <c r="C86" s="139" t="s">
        <v>519</v>
      </c>
      <c r="D86" s="147" t="s">
        <v>520</v>
      </c>
      <c r="E86" s="148" t="s">
        <v>521</v>
      </c>
      <c r="F86" s="149">
        <v>250000</v>
      </c>
      <c r="G86" s="141"/>
    </row>
    <row r="87" spans="2:7" s="76" customFormat="1" ht="15.75" customHeight="1">
      <c r="B87" s="150"/>
      <c r="C87" s="151"/>
      <c r="D87" s="152">
        <v>710</v>
      </c>
      <c r="E87" s="153" t="s">
        <v>522</v>
      </c>
      <c r="F87" s="154">
        <f>F88+F90+F95</f>
        <v>5300000</v>
      </c>
      <c r="G87" s="82"/>
    </row>
    <row r="88" spans="2:7" s="76" customFormat="1" ht="15.75">
      <c r="B88" s="83"/>
      <c r="C88" s="84"/>
      <c r="D88" s="152">
        <v>71003</v>
      </c>
      <c r="E88" s="155" t="s">
        <v>225</v>
      </c>
      <c r="F88" s="154">
        <f>F89</f>
        <v>500000</v>
      </c>
      <c r="G88" s="82"/>
    </row>
    <row r="89" spans="2:7" s="94" customFormat="1" ht="18.75" customHeight="1">
      <c r="B89" s="95" t="s">
        <v>104</v>
      </c>
      <c r="C89" s="156" t="s">
        <v>28</v>
      </c>
      <c r="D89" s="97" t="s">
        <v>226</v>
      </c>
      <c r="E89" s="98" t="s">
        <v>227</v>
      </c>
      <c r="F89" s="99">
        <v>500000</v>
      </c>
      <c r="G89" s="82"/>
    </row>
    <row r="90" spans="2:7" s="76" customFormat="1" ht="15.75">
      <c r="B90" s="83"/>
      <c r="C90" s="84"/>
      <c r="D90" s="79">
        <v>71012</v>
      </c>
      <c r="E90" s="85" t="s">
        <v>285</v>
      </c>
      <c r="F90" s="81">
        <f>F91</f>
        <v>2620000</v>
      </c>
      <c r="G90" s="82"/>
    </row>
    <row r="91" spans="2:7" s="76" customFormat="1" ht="24" customHeight="1">
      <c r="B91" s="86"/>
      <c r="C91" s="157"/>
      <c r="D91" s="158"/>
      <c r="E91" s="159" t="s">
        <v>286</v>
      </c>
      <c r="F91" s="90">
        <f>F93+F92+F94</f>
        <v>2620000</v>
      </c>
      <c r="G91" s="82"/>
    </row>
    <row r="92" spans="2:7" s="94" customFormat="1" ht="14.25">
      <c r="B92" s="95" t="s">
        <v>27</v>
      </c>
      <c r="C92" s="144" t="s">
        <v>28</v>
      </c>
      <c r="D92" s="97" t="s">
        <v>287</v>
      </c>
      <c r="E92" s="140" t="s">
        <v>288</v>
      </c>
      <c r="F92" s="99">
        <v>1400000</v>
      </c>
      <c r="G92" s="160" t="s">
        <v>289</v>
      </c>
    </row>
    <row r="93" spans="2:7" s="94" customFormat="1" ht="15.75">
      <c r="B93" s="95" t="s">
        <v>104</v>
      </c>
      <c r="C93" s="144" t="s">
        <v>28</v>
      </c>
      <c r="D93" s="97" t="s">
        <v>290</v>
      </c>
      <c r="E93" s="98" t="s">
        <v>291</v>
      </c>
      <c r="F93" s="99">
        <v>1100000</v>
      </c>
      <c r="G93" s="82"/>
    </row>
    <row r="94" spans="2:7" s="94" customFormat="1" ht="27" customHeight="1">
      <c r="B94" s="95" t="s">
        <v>27</v>
      </c>
      <c r="C94" s="96" t="s">
        <v>202</v>
      </c>
      <c r="D94" s="147" t="s">
        <v>292</v>
      </c>
      <c r="E94" s="148" t="s">
        <v>533</v>
      </c>
      <c r="F94" s="149">
        <v>120000</v>
      </c>
      <c r="G94" s="82"/>
    </row>
    <row r="95" spans="2:7" s="94" customFormat="1" ht="15.75">
      <c r="B95" s="95"/>
      <c r="C95" s="96"/>
      <c r="D95" s="79">
        <v>71095</v>
      </c>
      <c r="E95" s="85" t="s">
        <v>153</v>
      </c>
      <c r="F95" s="161">
        <f>F96+F98+F97</f>
        <v>2180000</v>
      </c>
      <c r="G95" s="82"/>
    </row>
    <row r="96" spans="2:7" s="94" customFormat="1" ht="15.75">
      <c r="B96" s="95" t="s">
        <v>27</v>
      </c>
      <c r="C96" s="96" t="s">
        <v>117</v>
      </c>
      <c r="D96" s="97" t="s">
        <v>534</v>
      </c>
      <c r="E96" s="98" t="s">
        <v>535</v>
      </c>
      <c r="F96" s="99">
        <v>150000</v>
      </c>
      <c r="G96" s="82"/>
    </row>
    <row r="97" spans="2:7" s="94" customFormat="1" ht="15.75">
      <c r="B97" s="95" t="s">
        <v>27</v>
      </c>
      <c r="C97" s="96" t="s">
        <v>117</v>
      </c>
      <c r="D97" s="97" t="s">
        <v>536</v>
      </c>
      <c r="E97" s="98" t="s">
        <v>537</v>
      </c>
      <c r="F97" s="99">
        <v>330000</v>
      </c>
      <c r="G97" s="82"/>
    </row>
    <row r="98" spans="2:7" s="94" customFormat="1" ht="15.75">
      <c r="B98" s="95" t="s">
        <v>27</v>
      </c>
      <c r="C98" s="96" t="s">
        <v>117</v>
      </c>
      <c r="D98" s="97" t="s">
        <v>538</v>
      </c>
      <c r="E98" s="98" t="s">
        <v>539</v>
      </c>
      <c r="F98" s="99">
        <f>1200000+500000</f>
        <v>1700000</v>
      </c>
      <c r="G98" s="82"/>
    </row>
    <row r="99" spans="2:7" s="40" customFormat="1" ht="15.75" customHeight="1" hidden="1">
      <c r="B99" s="162"/>
      <c r="C99" s="163"/>
      <c r="D99" s="67">
        <v>720</v>
      </c>
      <c r="E99" s="61" t="s">
        <v>540</v>
      </c>
      <c r="F99" s="68">
        <f>F100</f>
        <v>0</v>
      </c>
      <c r="G99" s="46"/>
    </row>
    <row r="100" spans="2:7" s="40" customFormat="1" ht="15.75" hidden="1">
      <c r="B100" s="58"/>
      <c r="C100" s="59"/>
      <c r="D100" s="67">
        <v>72095</v>
      </c>
      <c r="E100" s="69" t="s">
        <v>153</v>
      </c>
      <c r="F100" s="68">
        <f>SUM(F101:F103)</f>
        <v>0</v>
      </c>
      <c r="G100" s="46"/>
    </row>
    <row r="101" spans="2:7" s="70" customFormat="1" ht="15.75" hidden="1">
      <c r="B101" s="71" t="s">
        <v>27</v>
      </c>
      <c r="C101" s="72" t="s">
        <v>28</v>
      </c>
      <c r="D101" s="73" t="s">
        <v>541</v>
      </c>
      <c r="E101" s="74" t="s">
        <v>542</v>
      </c>
      <c r="F101" s="75"/>
      <c r="G101" s="46"/>
    </row>
    <row r="102" spans="2:7" s="70" customFormat="1" ht="15.75" hidden="1">
      <c r="B102" s="127" t="s">
        <v>27</v>
      </c>
      <c r="C102" s="128" t="s">
        <v>28</v>
      </c>
      <c r="D102" s="164" t="s">
        <v>543</v>
      </c>
      <c r="E102" s="165" t="s">
        <v>544</v>
      </c>
      <c r="F102" s="166"/>
      <c r="G102" s="46"/>
    </row>
    <row r="103" spans="2:7" s="70" customFormat="1" ht="14.25" customHeight="1" hidden="1">
      <c r="B103" s="127" t="s">
        <v>27</v>
      </c>
      <c r="C103" s="128" t="s">
        <v>28</v>
      </c>
      <c r="D103" s="164" t="s">
        <v>545</v>
      </c>
      <c r="E103" s="167" t="s">
        <v>546</v>
      </c>
      <c r="F103" s="166"/>
      <c r="G103" s="46"/>
    </row>
    <row r="104" spans="2:7" s="76" customFormat="1" ht="15.75" customHeight="1">
      <c r="B104" s="150"/>
      <c r="C104" s="151"/>
      <c r="D104" s="79">
        <v>750</v>
      </c>
      <c r="E104" s="80" t="s">
        <v>547</v>
      </c>
      <c r="F104" s="81">
        <f>F105+F113</f>
        <v>6500000</v>
      </c>
      <c r="G104" s="82"/>
    </row>
    <row r="105" spans="2:7" s="76" customFormat="1" ht="15.75">
      <c r="B105" s="83"/>
      <c r="C105" s="84"/>
      <c r="D105" s="79">
        <v>75023</v>
      </c>
      <c r="E105" s="85" t="s">
        <v>548</v>
      </c>
      <c r="F105" s="81">
        <f>SUM(F106:F112)</f>
        <v>5950000</v>
      </c>
      <c r="G105" s="82"/>
    </row>
    <row r="106" spans="2:7" s="94" customFormat="1" ht="15.75">
      <c r="B106" s="95" t="s">
        <v>27</v>
      </c>
      <c r="C106" s="96" t="s">
        <v>28</v>
      </c>
      <c r="D106" s="97" t="s">
        <v>549</v>
      </c>
      <c r="E106" s="168" t="s">
        <v>301</v>
      </c>
      <c r="F106" s="169">
        <v>400000</v>
      </c>
      <c r="G106" s="82"/>
    </row>
    <row r="107" spans="2:7" s="94" customFormat="1" ht="15.75">
      <c r="B107" s="95" t="s">
        <v>104</v>
      </c>
      <c r="C107" s="144" t="s">
        <v>28</v>
      </c>
      <c r="D107" s="97" t="s">
        <v>302</v>
      </c>
      <c r="E107" s="98" t="s">
        <v>303</v>
      </c>
      <c r="F107" s="99">
        <v>2000000</v>
      </c>
      <c r="G107" s="82"/>
    </row>
    <row r="108" spans="2:7" s="70" customFormat="1" ht="14.25">
      <c r="B108" s="95" t="s">
        <v>27</v>
      </c>
      <c r="C108" s="144" t="s">
        <v>304</v>
      </c>
      <c r="D108" s="97" t="s">
        <v>305</v>
      </c>
      <c r="E108" s="98" t="s">
        <v>306</v>
      </c>
      <c r="F108" s="99">
        <v>1200000</v>
      </c>
      <c r="G108" s="160" t="s">
        <v>289</v>
      </c>
    </row>
    <row r="109" spans="2:7" s="70" customFormat="1" ht="22.5">
      <c r="B109" s="95" t="s">
        <v>27</v>
      </c>
      <c r="C109" s="144" t="s">
        <v>307</v>
      </c>
      <c r="D109" s="97" t="s">
        <v>308</v>
      </c>
      <c r="E109" s="98" t="s">
        <v>309</v>
      </c>
      <c r="F109" s="99">
        <v>330000</v>
      </c>
      <c r="G109" s="170"/>
    </row>
    <row r="110" spans="2:7" s="94" customFormat="1" ht="15.75">
      <c r="B110" s="95" t="s">
        <v>27</v>
      </c>
      <c r="C110" s="96" t="s">
        <v>28</v>
      </c>
      <c r="D110" s="97" t="s">
        <v>310</v>
      </c>
      <c r="E110" s="98" t="s">
        <v>311</v>
      </c>
      <c r="F110" s="99">
        <v>1570000</v>
      </c>
      <c r="G110" s="82"/>
    </row>
    <row r="111" spans="2:7" s="94" customFormat="1" ht="15.75">
      <c r="B111" s="95" t="s">
        <v>27</v>
      </c>
      <c r="C111" s="96" t="s">
        <v>28</v>
      </c>
      <c r="D111" s="97" t="s">
        <v>312</v>
      </c>
      <c r="E111" s="98" t="s">
        <v>313</v>
      </c>
      <c r="F111" s="99">
        <v>100000</v>
      </c>
      <c r="G111" s="82"/>
    </row>
    <row r="112" spans="2:7" s="94" customFormat="1" ht="15.75">
      <c r="B112" s="95" t="s">
        <v>104</v>
      </c>
      <c r="C112" s="171" t="s">
        <v>28</v>
      </c>
      <c r="D112" s="147" t="s">
        <v>314</v>
      </c>
      <c r="E112" s="148" t="s">
        <v>315</v>
      </c>
      <c r="F112" s="149">
        <f>300000+50000-50000+50000</f>
        <v>350000</v>
      </c>
      <c r="G112" s="82"/>
    </row>
    <row r="113" spans="1:7" s="76" customFormat="1" ht="15.75">
      <c r="A113" s="172"/>
      <c r="B113" s="83"/>
      <c r="C113" s="173"/>
      <c r="D113" s="152">
        <v>75095</v>
      </c>
      <c r="E113" s="174" t="s">
        <v>153</v>
      </c>
      <c r="F113" s="154">
        <f>F114</f>
        <v>550000</v>
      </c>
      <c r="G113" s="82"/>
    </row>
    <row r="114" spans="2:7" s="94" customFormat="1" ht="15.75">
      <c r="B114" s="95" t="s">
        <v>27</v>
      </c>
      <c r="C114" s="144" t="s">
        <v>307</v>
      </c>
      <c r="D114" s="175" t="s">
        <v>316</v>
      </c>
      <c r="E114" s="176" t="s">
        <v>317</v>
      </c>
      <c r="F114" s="99">
        <v>550000</v>
      </c>
      <c r="G114" s="82"/>
    </row>
    <row r="115" spans="2:7" s="76" customFormat="1" ht="15.75" customHeight="1">
      <c r="B115" s="77"/>
      <c r="C115" s="78"/>
      <c r="D115" s="79">
        <v>754</v>
      </c>
      <c r="E115" s="80" t="s">
        <v>318</v>
      </c>
      <c r="F115" s="81">
        <f>F116+F118+F120</f>
        <v>120000</v>
      </c>
      <c r="G115" s="82"/>
    </row>
    <row r="116" spans="2:7" s="40" customFormat="1" ht="15.75" hidden="1">
      <c r="B116" s="177"/>
      <c r="C116" s="178"/>
      <c r="D116" s="67">
        <v>75412</v>
      </c>
      <c r="E116" s="179" t="s">
        <v>319</v>
      </c>
      <c r="F116" s="68">
        <f>F117</f>
        <v>0</v>
      </c>
      <c r="G116" s="46"/>
    </row>
    <row r="117" spans="2:7" s="180" customFormat="1" ht="15.75" hidden="1">
      <c r="B117" s="181" t="s">
        <v>320</v>
      </c>
      <c r="C117" s="181"/>
      <c r="D117" s="182" t="s">
        <v>321</v>
      </c>
      <c r="E117" s="183" t="s">
        <v>532</v>
      </c>
      <c r="F117" s="184"/>
      <c r="G117" s="46"/>
    </row>
    <row r="118" spans="2:7" s="76" customFormat="1" ht="15.75">
      <c r="B118" s="83"/>
      <c r="C118" s="84"/>
      <c r="D118" s="79">
        <v>75416</v>
      </c>
      <c r="E118" s="85" t="s">
        <v>523</v>
      </c>
      <c r="F118" s="81">
        <f>F119</f>
        <v>110000</v>
      </c>
      <c r="G118" s="82"/>
    </row>
    <row r="119" spans="1:7" s="94" customFormat="1" ht="15.75">
      <c r="A119" s="185"/>
      <c r="B119" s="95" t="s">
        <v>104</v>
      </c>
      <c r="C119" s="144" t="s">
        <v>28</v>
      </c>
      <c r="D119" s="97" t="s">
        <v>524</v>
      </c>
      <c r="E119" s="98" t="s">
        <v>525</v>
      </c>
      <c r="F119" s="99">
        <v>110000</v>
      </c>
      <c r="G119" s="82"/>
    </row>
    <row r="120" spans="1:7" s="76" customFormat="1" ht="15.75">
      <c r="A120" s="172"/>
      <c r="B120" s="83"/>
      <c r="C120" s="84"/>
      <c r="D120" s="79">
        <v>75495</v>
      </c>
      <c r="E120" s="186" t="s">
        <v>153</v>
      </c>
      <c r="F120" s="81">
        <f>F121</f>
        <v>10000</v>
      </c>
      <c r="G120" s="82"/>
    </row>
    <row r="121" spans="2:8" s="94" customFormat="1" ht="15.75">
      <c r="B121" s="95" t="s">
        <v>104</v>
      </c>
      <c r="C121" s="144" t="s">
        <v>28</v>
      </c>
      <c r="D121" s="175" t="s">
        <v>526</v>
      </c>
      <c r="E121" s="187" t="s">
        <v>527</v>
      </c>
      <c r="F121" s="99">
        <v>10000</v>
      </c>
      <c r="G121" s="82"/>
      <c r="H121" s="94">
        <v>10000</v>
      </c>
    </row>
    <row r="122" spans="2:7" s="76" customFormat="1" ht="15.75" customHeight="1">
      <c r="B122" s="77"/>
      <c r="C122" s="78"/>
      <c r="D122" s="79">
        <v>758</v>
      </c>
      <c r="E122" s="80" t="s">
        <v>293</v>
      </c>
      <c r="F122" s="81">
        <f>F123</f>
        <v>14583866</v>
      </c>
      <c r="G122" s="82"/>
    </row>
    <row r="123" spans="2:7" s="76" customFormat="1" ht="15.75">
      <c r="B123" s="83"/>
      <c r="C123" s="84"/>
      <c r="D123" s="79">
        <v>75818</v>
      </c>
      <c r="E123" s="85" t="s">
        <v>294</v>
      </c>
      <c r="F123" s="81">
        <f>SUM(F124:F129)</f>
        <v>14583866</v>
      </c>
      <c r="G123" s="82"/>
    </row>
    <row r="124" spans="2:7" s="70" customFormat="1" ht="15.75">
      <c r="B124" s="71" t="s">
        <v>146</v>
      </c>
      <c r="C124" s="188"/>
      <c r="D124" s="97" t="s">
        <v>295</v>
      </c>
      <c r="E124" s="100" t="s">
        <v>296</v>
      </c>
      <c r="F124" s="189">
        <v>5000000</v>
      </c>
      <c r="G124" s="46"/>
    </row>
    <row r="125" spans="2:7" s="190" customFormat="1" ht="15.75">
      <c r="B125" s="95" t="s">
        <v>146</v>
      </c>
      <c r="C125" s="144" t="s">
        <v>28</v>
      </c>
      <c r="D125" s="97" t="s">
        <v>297</v>
      </c>
      <c r="E125" s="98" t="s">
        <v>298</v>
      </c>
      <c r="F125" s="136">
        <v>3000000</v>
      </c>
      <c r="G125" s="82"/>
    </row>
    <row r="126" spans="2:7" s="120" customFormat="1" ht="15.75">
      <c r="B126" s="121" t="s">
        <v>146</v>
      </c>
      <c r="C126" s="122"/>
      <c r="D126" s="123" t="s">
        <v>299</v>
      </c>
      <c r="E126" s="124" t="s">
        <v>300</v>
      </c>
      <c r="F126" s="191">
        <v>1358740</v>
      </c>
      <c r="G126" s="126"/>
    </row>
    <row r="127" spans="2:7" s="190" customFormat="1" ht="15.75">
      <c r="B127" s="95" t="s">
        <v>146</v>
      </c>
      <c r="C127" s="144" t="s">
        <v>205</v>
      </c>
      <c r="D127" s="97" t="s">
        <v>528</v>
      </c>
      <c r="E127" s="98" t="s">
        <v>529</v>
      </c>
      <c r="F127" s="136">
        <f>2750000+1750000</f>
        <v>4500000</v>
      </c>
      <c r="G127" s="82"/>
    </row>
    <row r="128" spans="2:7" s="190" customFormat="1" ht="15.75" hidden="1">
      <c r="B128" s="95"/>
      <c r="C128" s="144"/>
      <c r="D128" s="123" t="s">
        <v>530</v>
      </c>
      <c r="E128" s="124" t="s">
        <v>531</v>
      </c>
      <c r="F128" s="191"/>
      <c r="G128" s="82"/>
    </row>
    <row r="129" spans="2:7" s="120" customFormat="1" ht="15.75">
      <c r="B129" s="121" t="s">
        <v>146</v>
      </c>
      <c r="C129" s="192"/>
      <c r="D129" s="193" t="s">
        <v>530</v>
      </c>
      <c r="E129" s="194" t="s">
        <v>257</v>
      </c>
      <c r="F129" s="195">
        <v>725126</v>
      </c>
      <c r="G129" s="126"/>
    </row>
    <row r="130" spans="2:8" s="76" customFormat="1" ht="15.75" customHeight="1">
      <c r="B130" s="77"/>
      <c r="C130" s="151"/>
      <c r="D130" s="152">
        <v>801</v>
      </c>
      <c r="E130" s="153" t="s">
        <v>258</v>
      </c>
      <c r="F130" s="154">
        <f>F131+F140+F143+F146</f>
        <v>10687507</v>
      </c>
      <c r="G130" s="82"/>
      <c r="H130" s="76">
        <v>1780835</v>
      </c>
    </row>
    <row r="131" spans="2:7" s="76" customFormat="1" ht="15.75">
      <c r="B131" s="196"/>
      <c r="C131" s="173"/>
      <c r="D131" s="152">
        <v>80101</v>
      </c>
      <c r="E131" s="155" t="s">
        <v>259</v>
      </c>
      <c r="F131" s="154">
        <f>SUM(F132:F139)</f>
        <v>3595271</v>
      </c>
      <c r="G131" s="82"/>
    </row>
    <row r="132" spans="2:7" s="197" customFormat="1" ht="15.75">
      <c r="B132" s="198" t="s">
        <v>27</v>
      </c>
      <c r="C132" s="142" t="s">
        <v>117</v>
      </c>
      <c r="D132" s="123" t="s">
        <v>260</v>
      </c>
      <c r="E132" s="124" t="s">
        <v>261</v>
      </c>
      <c r="F132" s="191">
        <v>873668</v>
      </c>
      <c r="G132" s="126"/>
    </row>
    <row r="133" spans="2:7" s="94" customFormat="1" ht="14.25" customHeight="1">
      <c r="B133" s="95" t="s">
        <v>27</v>
      </c>
      <c r="C133" s="96" t="s">
        <v>117</v>
      </c>
      <c r="D133" s="97" t="s">
        <v>262</v>
      </c>
      <c r="E133" s="98" t="s">
        <v>263</v>
      </c>
      <c r="F133" s="99">
        <v>392862</v>
      </c>
      <c r="G133" s="82"/>
    </row>
    <row r="134" spans="2:7" s="94" customFormat="1" ht="15.75">
      <c r="B134" s="95" t="s">
        <v>27</v>
      </c>
      <c r="C134" s="96" t="s">
        <v>117</v>
      </c>
      <c r="D134" s="97" t="s">
        <v>264</v>
      </c>
      <c r="E134" s="98" t="s">
        <v>265</v>
      </c>
      <c r="F134" s="99">
        <v>297191</v>
      </c>
      <c r="G134" s="82"/>
    </row>
    <row r="135" spans="2:7" s="94" customFormat="1" ht="15.75">
      <c r="B135" s="95" t="s">
        <v>27</v>
      </c>
      <c r="C135" s="144" t="s">
        <v>117</v>
      </c>
      <c r="D135" s="97" t="s">
        <v>266</v>
      </c>
      <c r="E135" s="98" t="s">
        <v>267</v>
      </c>
      <c r="F135" s="99">
        <v>240500</v>
      </c>
      <c r="G135" s="82"/>
    </row>
    <row r="136" spans="2:7" s="94" customFormat="1" ht="15.75">
      <c r="B136" s="95" t="s">
        <v>27</v>
      </c>
      <c r="C136" s="96" t="s">
        <v>28</v>
      </c>
      <c r="D136" s="97" t="s">
        <v>268</v>
      </c>
      <c r="E136" s="98" t="s">
        <v>269</v>
      </c>
      <c r="F136" s="99">
        <v>246050</v>
      </c>
      <c r="G136" s="82"/>
    </row>
    <row r="137" spans="2:7" s="94" customFormat="1" ht="17.25" customHeight="1">
      <c r="B137" s="95" t="s">
        <v>27</v>
      </c>
      <c r="C137" s="96" t="s">
        <v>28</v>
      </c>
      <c r="D137" s="97" t="s">
        <v>270</v>
      </c>
      <c r="E137" s="98" t="s">
        <v>271</v>
      </c>
      <c r="F137" s="99">
        <v>250000</v>
      </c>
      <c r="G137" s="82"/>
    </row>
    <row r="138" spans="2:7" s="94" customFormat="1" ht="18" customHeight="1">
      <c r="B138" s="95" t="s">
        <v>27</v>
      </c>
      <c r="C138" s="96" t="s">
        <v>117</v>
      </c>
      <c r="D138" s="97" t="s">
        <v>272</v>
      </c>
      <c r="E138" s="98" t="s">
        <v>273</v>
      </c>
      <c r="F138" s="99">
        <v>100000</v>
      </c>
      <c r="G138" s="82"/>
    </row>
    <row r="139" spans="2:7" s="94" customFormat="1" ht="17.25" customHeight="1">
      <c r="B139" s="95" t="s">
        <v>27</v>
      </c>
      <c r="C139" s="96" t="s">
        <v>117</v>
      </c>
      <c r="D139" s="97" t="s">
        <v>274</v>
      </c>
      <c r="E139" s="98" t="s">
        <v>275</v>
      </c>
      <c r="F139" s="99">
        <v>1195000</v>
      </c>
      <c r="G139" s="82"/>
    </row>
    <row r="140" spans="2:7" s="76" customFormat="1" ht="15.75">
      <c r="B140" s="83"/>
      <c r="C140" s="84"/>
      <c r="D140" s="79">
        <v>80104</v>
      </c>
      <c r="E140" s="145" t="s">
        <v>276</v>
      </c>
      <c r="F140" s="81">
        <f>SUM(F141:F142)</f>
        <v>317200</v>
      </c>
      <c r="G140" s="82"/>
    </row>
    <row r="141" spans="2:7" s="94" customFormat="1" ht="15.75">
      <c r="B141" s="95" t="s">
        <v>104</v>
      </c>
      <c r="C141" s="144" t="s">
        <v>117</v>
      </c>
      <c r="D141" s="97" t="s">
        <v>277</v>
      </c>
      <c r="E141" s="98" t="s">
        <v>278</v>
      </c>
      <c r="F141" s="99">
        <v>6000</v>
      </c>
      <c r="G141" s="82"/>
    </row>
    <row r="142" spans="2:7" s="94" customFormat="1" ht="14.25" customHeight="1">
      <c r="B142" s="95" t="s">
        <v>27</v>
      </c>
      <c r="C142" s="96" t="s">
        <v>28</v>
      </c>
      <c r="D142" s="97" t="s">
        <v>279</v>
      </c>
      <c r="E142" s="98" t="s">
        <v>322</v>
      </c>
      <c r="F142" s="99">
        <v>311200</v>
      </c>
      <c r="G142" s="82"/>
    </row>
    <row r="143" spans="2:7" s="76" customFormat="1" ht="15.75">
      <c r="B143" s="83"/>
      <c r="C143" s="84"/>
      <c r="D143" s="79">
        <v>80110</v>
      </c>
      <c r="E143" s="85" t="s">
        <v>323</v>
      </c>
      <c r="F143" s="81">
        <f>SUM(F144:F145)</f>
        <v>192032</v>
      </c>
      <c r="G143" s="82"/>
    </row>
    <row r="144" spans="2:7" s="94" customFormat="1" ht="14.25" customHeight="1">
      <c r="B144" s="95" t="s">
        <v>27</v>
      </c>
      <c r="C144" s="96" t="s">
        <v>28</v>
      </c>
      <c r="D144" s="97" t="s">
        <v>324</v>
      </c>
      <c r="E144" s="140" t="s">
        <v>325</v>
      </c>
      <c r="F144" s="99">
        <v>40000</v>
      </c>
      <c r="G144" s="82"/>
    </row>
    <row r="145" spans="2:7" s="94" customFormat="1" ht="14.25" customHeight="1">
      <c r="B145" s="95" t="s">
        <v>104</v>
      </c>
      <c r="C145" s="144" t="s">
        <v>117</v>
      </c>
      <c r="D145" s="97" t="s">
        <v>326</v>
      </c>
      <c r="E145" s="98" t="s">
        <v>327</v>
      </c>
      <c r="F145" s="99">
        <v>152032</v>
      </c>
      <c r="G145" s="82"/>
    </row>
    <row r="146" spans="2:7" s="76" customFormat="1" ht="15.75">
      <c r="B146" s="83"/>
      <c r="C146" s="199"/>
      <c r="D146" s="79">
        <v>80195</v>
      </c>
      <c r="E146" s="85" t="s">
        <v>153</v>
      </c>
      <c r="F146" s="161">
        <f>F147+F148</f>
        <v>6583004</v>
      </c>
      <c r="G146" s="82"/>
    </row>
    <row r="147" spans="2:7" s="94" customFormat="1" ht="14.25" customHeight="1">
      <c r="B147" s="95" t="s">
        <v>27</v>
      </c>
      <c r="C147" s="96" t="s">
        <v>117</v>
      </c>
      <c r="D147" s="175" t="s">
        <v>328</v>
      </c>
      <c r="E147" s="200" t="s">
        <v>550</v>
      </c>
      <c r="F147" s="169">
        <v>6583004</v>
      </c>
      <c r="G147" s="82"/>
    </row>
    <row r="148" spans="2:7" s="70" customFormat="1" ht="15.75" hidden="1">
      <c r="B148" s="127" t="s">
        <v>104</v>
      </c>
      <c r="C148" s="201" t="s">
        <v>28</v>
      </c>
      <c r="D148" s="164" t="s">
        <v>551</v>
      </c>
      <c r="E148" s="167" t="s">
        <v>552</v>
      </c>
      <c r="F148" s="166"/>
      <c r="G148" s="46"/>
    </row>
    <row r="149" spans="2:7" s="76" customFormat="1" ht="15.75" customHeight="1">
      <c r="B149" s="150"/>
      <c r="C149" s="151"/>
      <c r="D149" s="79">
        <v>851</v>
      </c>
      <c r="E149" s="202" t="s">
        <v>553</v>
      </c>
      <c r="F149" s="81">
        <f>F150+F155+F157</f>
        <v>7737551</v>
      </c>
      <c r="G149" s="82"/>
    </row>
    <row r="150" spans="2:7" s="76" customFormat="1" ht="15.75">
      <c r="B150" s="83"/>
      <c r="C150" s="84"/>
      <c r="D150" s="79">
        <v>85111</v>
      </c>
      <c r="E150" s="85" t="s">
        <v>554</v>
      </c>
      <c r="F150" s="81">
        <f>F151+F152+F153+F154</f>
        <v>5049354</v>
      </c>
      <c r="G150" s="82"/>
    </row>
    <row r="151" spans="2:7" s="94" customFormat="1" ht="15.75">
      <c r="B151" s="95" t="s">
        <v>555</v>
      </c>
      <c r="C151" s="144" t="s">
        <v>205</v>
      </c>
      <c r="D151" s="97" t="s">
        <v>556</v>
      </c>
      <c r="E151" s="100" t="s">
        <v>557</v>
      </c>
      <c r="F151" s="99">
        <v>1210000</v>
      </c>
      <c r="G151" s="82"/>
    </row>
    <row r="152" spans="2:7" s="94" customFormat="1" ht="15.75">
      <c r="B152" s="95" t="s">
        <v>555</v>
      </c>
      <c r="C152" s="144" t="s">
        <v>28</v>
      </c>
      <c r="D152" s="97" t="s">
        <v>558</v>
      </c>
      <c r="E152" s="98" t="s">
        <v>578</v>
      </c>
      <c r="F152" s="99">
        <v>3000000</v>
      </c>
      <c r="G152" s="82"/>
    </row>
    <row r="153" spans="2:7" s="94" customFormat="1" ht="15.75">
      <c r="B153" s="95" t="s">
        <v>555</v>
      </c>
      <c r="C153" s="144" t="s">
        <v>28</v>
      </c>
      <c r="D153" s="97" t="s">
        <v>579</v>
      </c>
      <c r="E153" s="100" t="s">
        <v>580</v>
      </c>
      <c r="F153" s="99">
        <v>480000</v>
      </c>
      <c r="G153" s="82"/>
    </row>
    <row r="154" spans="2:7" s="94" customFormat="1" ht="15.75">
      <c r="B154" s="95" t="s">
        <v>555</v>
      </c>
      <c r="C154" s="144" t="s">
        <v>117</v>
      </c>
      <c r="D154" s="147" t="s">
        <v>581</v>
      </c>
      <c r="E154" s="148" t="s">
        <v>582</v>
      </c>
      <c r="F154" s="149">
        <v>359354</v>
      </c>
      <c r="G154" s="82"/>
    </row>
    <row r="155" spans="2:7" s="76" customFormat="1" ht="16.5" customHeight="1">
      <c r="B155" s="83"/>
      <c r="C155" s="84"/>
      <c r="D155" s="152">
        <v>85121</v>
      </c>
      <c r="E155" s="155" t="s">
        <v>583</v>
      </c>
      <c r="F155" s="154">
        <f>F156</f>
        <v>2188197</v>
      </c>
      <c r="G155" s="82"/>
    </row>
    <row r="156" spans="2:7" s="94" customFormat="1" ht="15.75">
      <c r="B156" s="95" t="s">
        <v>555</v>
      </c>
      <c r="C156" s="144" t="s">
        <v>28</v>
      </c>
      <c r="D156" s="147" t="s">
        <v>584</v>
      </c>
      <c r="E156" s="203" t="s">
        <v>585</v>
      </c>
      <c r="F156" s="204">
        <v>2188197</v>
      </c>
      <c r="G156" s="82"/>
    </row>
    <row r="157" spans="2:7" s="94" customFormat="1" ht="15.75">
      <c r="B157" s="95"/>
      <c r="C157" s="144"/>
      <c r="D157" s="152">
        <v>85195</v>
      </c>
      <c r="E157" s="155" t="s">
        <v>153</v>
      </c>
      <c r="F157" s="81">
        <f>F158</f>
        <v>500000</v>
      </c>
      <c r="G157" s="82"/>
    </row>
    <row r="158" spans="2:7" s="109" customFormat="1" ht="15.75">
      <c r="B158" s="95" t="s">
        <v>555</v>
      </c>
      <c r="C158" s="96" t="s">
        <v>28</v>
      </c>
      <c r="D158" s="205" t="s">
        <v>586</v>
      </c>
      <c r="E158" s="206" t="s">
        <v>587</v>
      </c>
      <c r="F158" s="207">
        <v>500000</v>
      </c>
      <c r="G158" s="82"/>
    </row>
    <row r="159" spans="2:7" s="76" customFormat="1" ht="15.75" customHeight="1">
      <c r="B159" s="77"/>
      <c r="C159" s="78"/>
      <c r="D159" s="152">
        <v>852</v>
      </c>
      <c r="E159" s="153" t="s">
        <v>588</v>
      </c>
      <c r="F159" s="154">
        <f>F160+F162+F164</f>
        <v>1261000</v>
      </c>
      <c r="G159" s="82"/>
    </row>
    <row r="160" spans="2:7" s="76" customFormat="1" ht="15.75">
      <c r="B160" s="83"/>
      <c r="C160" s="84"/>
      <c r="D160" s="79">
        <v>85203</v>
      </c>
      <c r="E160" s="85" t="s">
        <v>589</v>
      </c>
      <c r="F160" s="161">
        <f>+F161</f>
        <v>112000</v>
      </c>
      <c r="G160" s="82"/>
    </row>
    <row r="161" spans="2:7" s="94" customFormat="1" ht="15.75">
      <c r="B161" s="208" t="s">
        <v>27</v>
      </c>
      <c r="C161" s="209" t="s">
        <v>205</v>
      </c>
      <c r="D161" s="147" t="s">
        <v>590</v>
      </c>
      <c r="E161" s="210" t="s">
        <v>591</v>
      </c>
      <c r="F161" s="149">
        <v>112000</v>
      </c>
      <c r="G161" s="82"/>
    </row>
    <row r="162" spans="2:7" s="76" customFormat="1" ht="22.5" customHeight="1">
      <c r="B162" s="196"/>
      <c r="C162" s="173"/>
      <c r="D162" s="152">
        <v>85219</v>
      </c>
      <c r="E162" s="211" t="s">
        <v>592</v>
      </c>
      <c r="F162" s="154">
        <f>F163</f>
        <v>200000</v>
      </c>
      <c r="G162" s="82"/>
    </row>
    <row r="163" spans="2:7" s="76" customFormat="1" ht="22.5" customHeight="1">
      <c r="B163" s="111" t="s">
        <v>104</v>
      </c>
      <c r="C163" s="87" t="s">
        <v>205</v>
      </c>
      <c r="D163" s="97" t="s">
        <v>559</v>
      </c>
      <c r="E163" s="200" t="s">
        <v>560</v>
      </c>
      <c r="F163" s="136">
        <v>200000</v>
      </c>
      <c r="G163" s="82"/>
    </row>
    <row r="164" spans="2:7" s="94" customFormat="1" ht="14.25" customHeight="1">
      <c r="B164" s="83"/>
      <c r="C164" s="84"/>
      <c r="D164" s="79">
        <v>85295</v>
      </c>
      <c r="E164" s="85" t="s">
        <v>153</v>
      </c>
      <c r="F164" s="161">
        <f>F165+F166</f>
        <v>949000</v>
      </c>
      <c r="G164" s="82"/>
    </row>
    <row r="165" spans="2:7" s="94" customFormat="1" ht="15.75">
      <c r="B165" s="111" t="s">
        <v>104</v>
      </c>
      <c r="C165" s="144" t="s">
        <v>205</v>
      </c>
      <c r="D165" s="97" t="s">
        <v>561</v>
      </c>
      <c r="E165" s="140" t="s">
        <v>562</v>
      </c>
      <c r="F165" s="99">
        <v>154000</v>
      </c>
      <c r="G165" s="82"/>
    </row>
    <row r="166" spans="2:7" s="94" customFormat="1" ht="15.75">
      <c r="B166" s="95" t="s">
        <v>27</v>
      </c>
      <c r="C166" s="212" t="s">
        <v>205</v>
      </c>
      <c r="D166" s="97" t="s">
        <v>563</v>
      </c>
      <c r="E166" s="140" t="s">
        <v>564</v>
      </c>
      <c r="F166" s="99">
        <v>795000</v>
      </c>
      <c r="G166" s="82"/>
    </row>
    <row r="167" spans="2:7" s="76" customFormat="1" ht="15.75" customHeight="1">
      <c r="B167" s="77"/>
      <c r="C167" s="78"/>
      <c r="D167" s="79">
        <v>853</v>
      </c>
      <c r="E167" s="80" t="s">
        <v>565</v>
      </c>
      <c r="F167" s="81">
        <f>F168+F172</f>
        <v>700000</v>
      </c>
      <c r="G167" s="82"/>
    </row>
    <row r="168" spans="2:7" s="76" customFormat="1" ht="15.75">
      <c r="B168" s="83"/>
      <c r="C168" s="84"/>
      <c r="D168" s="79">
        <v>85305</v>
      </c>
      <c r="E168" s="85" t="s">
        <v>566</v>
      </c>
      <c r="F168" s="81">
        <f>F169+F170+F171</f>
        <v>700000</v>
      </c>
      <c r="G168" s="82"/>
    </row>
    <row r="169" spans="2:7" s="213" customFormat="1" ht="15.75">
      <c r="B169" s="95" t="s">
        <v>27</v>
      </c>
      <c r="C169" s="144" t="s">
        <v>28</v>
      </c>
      <c r="D169" s="97" t="s">
        <v>567</v>
      </c>
      <c r="E169" s="98" t="s">
        <v>568</v>
      </c>
      <c r="F169" s="99">
        <v>267000</v>
      </c>
      <c r="G169" s="46"/>
    </row>
    <row r="170" spans="2:7" s="213" customFormat="1" ht="15.75">
      <c r="B170" s="95" t="s">
        <v>27</v>
      </c>
      <c r="C170" s="144" t="s">
        <v>28</v>
      </c>
      <c r="D170" s="97" t="s">
        <v>569</v>
      </c>
      <c r="E170" s="98" t="s">
        <v>570</v>
      </c>
      <c r="F170" s="99">
        <v>185000</v>
      </c>
      <c r="G170" s="46"/>
    </row>
    <row r="171" spans="2:7" s="214" customFormat="1" ht="15.75">
      <c r="B171" s="95" t="s">
        <v>27</v>
      </c>
      <c r="C171" s="144" t="s">
        <v>28</v>
      </c>
      <c r="D171" s="97" t="s">
        <v>571</v>
      </c>
      <c r="E171" s="98" t="s">
        <v>572</v>
      </c>
      <c r="F171" s="99">
        <v>248000</v>
      </c>
      <c r="G171" s="82"/>
    </row>
    <row r="172" spans="2:7" s="70" customFormat="1" ht="14.25" customHeight="1" hidden="1">
      <c r="B172" s="215"/>
      <c r="C172" s="216"/>
      <c r="D172" s="67">
        <v>85395</v>
      </c>
      <c r="E172" s="69" t="s">
        <v>153</v>
      </c>
      <c r="F172" s="68">
        <f>F173</f>
        <v>0</v>
      </c>
      <c r="G172" s="46"/>
    </row>
    <row r="173" spans="2:7" s="70" customFormat="1" ht="14.25" customHeight="1" hidden="1">
      <c r="B173" s="177" t="s">
        <v>104</v>
      </c>
      <c r="C173" s="217"/>
      <c r="D173" s="182" t="s">
        <v>573</v>
      </c>
      <c r="E173" s="218" t="s">
        <v>574</v>
      </c>
      <c r="F173" s="219"/>
      <c r="G173" s="46"/>
    </row>
    <row r="174" spans="2:7" s="76" customFormat="1" ht="15.75" customHeight="1">
      <c r="B174" s="150"/>
      <c r="C174" s="151"/>
      <c r="D174" s="79">
        <v>900</v>
      </c>
      <c r="E174" s="80" t="s">
        <v>575</v>
      </c>
      <c r="F174" s="81">
        <f>F175+F183+F186+F188+F199+F203+F207</f>
        <v>345721584</v>
      </c>
      <c r="G174" s="82"/>
    </row>
    <row r="175" spans="2:7" s="76" customFormat="1" ht="15.75">
      <c r="B175" s="196"/>
      <c r="C175" s="173"/>
      <c r="D175" s="152">
        <v>90001</v>
      </c>
      <c r="E175" s="155" t="s">
        <v>576</v>
      </c>
      <c r="F175" s="154">
        <f>F176+F181</f>
        <v>14119860</v>
      </c>
      <c r="G175" s="82"/>
    </row>
    <row r="176" spans="2:7" s="76" customFormat="1" ht="15.75">
      <c r="B176" s="95"/>
      <c r="C176" s="135"/>
      <c r="D176" s="97"/>
      <c r="E176" s="89" t="s">
        <v>53</v>
      </c>
      <c r="F176" s="112">
        <f>SUM(F177:F180)</f>
        <v>14119860</v>
      </c>
      <c r="G176" s="82"/>
    </row>
    <row r="177" spans="2:7" s="94" customFormat="1" ht="15.75">
      <c r="B177" s="95" t="s">
        <v>27</v>
      </c>
      <c r="C177" s="96" t="s">
        <v>28</v>
      </c>
      <c r="D177" s="97" t="s">
        <v>577</v>
      </c>
      <c r="E177" s="100" t="s">
        <v>329</v>
      </c>
      <c r="F177" s="99">
        <v>469860</v>
      </c>
      <c r="G177" s="82" t="s">
        <v>103</v>
      </c>
    </row>
    <row r="178" spans="2:7" s="94" customFormat="1" ht="15.75">
      <c r="B178" s="95" t="s">
        <v>27</v>
      </c>
      <c r="C178" s="96" t="s">
        <v>28</v>
      </c>
      <c r="D178" s="97" t="s">
        <v>330</v>
      </c>
      <c r="E178" s="100" t="s">
        <v>331</v>
      </c>
      <c r="F178" s="99">
        <v>10000000</v>
      </c>
      <c r="G178" s="82"/>
    </row>
    <row r="179" spans="2:7" s="76" customFormat="1" ht="24.75" customHeight="1">
      <c r="B179" s="95" t="s">
        <v>27</v>
      </c>
      <c r="C179" s="135" t="s">
        <v>28</v>
      </c>
      <c r="D179" s="97" t="s">
        <v>332</v>
      </c>
      <c r="E179" s="100" t="s">
        <v>333</v>
      </c>
      <c r="F179" s="99">
        <v>2000000</v>
      </c>
      <c r="G179" s="82" t="s">
        <v>103</v>
      </c>
    </row>
    <row r="180" spans="2:7" s="94" customFormat="1" ht="15.75">
      <c r="B180" s="95" t="s">
        <v>27</v>
      </c>
      <c r="C180" s="96" t="s">
        <v>28</v>
      </c>
      <c r="D180" s="97" t="s">
        <v>334</v>
      </c>
      <c r="E180" s="100" t="s">
        <v>335</v>
      </c>
      <c r="F180" s="99">
        <v>1650000</v>
      </c>
      <c r="G180" s="82" t="s">
        <v>103</v>
      </c>
    </row>
    <row r="181" spans="2:7" s="70" customFormat="1" ht="14.25" customHeight="1" hidden="1">
      <c r="B181" s="30"/>
      <c r="C181" s="132"/>
      <c r="D181" s="73"/>
      <c r="E181" s="129" t="s">
        <v>336</v>
      </c>
      <c r="F181" s="130">
        <f>F182</f>
        <v>0</v>
      </c>
      <c r="G181" s="46"/>
    </row>
    <row r="182" spans="2:7" s="70" customFormat="1" ht="14.25" customHeight="1" hidden="1">
      <c r="B182" s="71" t="s">
        <v>27</v>
      </c>
      <c r="C182" s="72" t="s">
        <v>117</v>
      </c>
      <c r="D182" s="73" t="s">
        <v>337</v>
      </c>
      <c r="E182" s="102" t="s">
        <v>353</v>
      </c>
      <c r="F182" s="75">
        <f>149631-149631</f>
        <v>0</v>
      </c>
      <c r="G182" s="46"/>
    </row>
    <row r="183" spans="2:7" s="40" customFormat="1" ht="15.75">
      <c r="B183" s="58"/>
      <c r="C183" s="59"/>
      <c r="D183" s="79">
        <v>90002</v>
      </c>
      <c r="E183" s="220" t="s">
        <v>354</v>
      </c>
      <c r="F183" s="81">
        <f>F184</f>
        <v>317694233</v>
      </c>
      <c r="G183" s="46"/>
    </row>
    <row r="184" spans="2:7" s="76" customFormat="1" ht="15.75">
      <c r="B184" s="111"/>
      <c r="C184" s="87"/>
      <c r="D184" s="97"/>
      <c r="E184" s="89" t="s">
        <v>355</v>
      </c>
      <c r="F184" s="112">
        <f>F185</f>
        <v>317694233</v>
      </c>
      <c r="G184" s="82"/>
    </row>
    <row r="185" spans="2:7" s="94" customFormat="1" ht="15.75">
      <c r="B185" s="208" t="s">
        <v>27</v>
      </c>
      <c r="C185" s="209" t="s">
        <v>28</v>
      </c>
      <c r="D185" s="147" t="s">
        <v>356</v>
      </c>
      <c r="E185" s="148" t="s">
        <v>357</v>
      </c>
      <c r="F185" s="149">
        <f>309566998+8127235</f>
        <v>317694233</v>
      </c>
      <c r="G185" s="82"/>
    </row>
    <row r="186" spans="2:7" s="70" customFormat="1" ht="14.25" customHeight="1" hidden="1">
      <c r="B186" s="215"/>
      <c r="C186" s="216"/>
      <c r="D186" s="221">
        <v>90003</v>
      </c>
      <c r="E186" s="222" t="s">
        <v>338</v>
      </c>
      <c r="F186" s="223">
        <f>F187</f>
        <v>0</v>
      </c>
      <c r="G186" s="46"/>
    </row>
    <row r="187" spans="2:7" s="70" customFormat="1" ht="12.75" customHeight="1" hidden="1">
      <c r="B187" s="71" t="s">
        <v>27</v>
      </c>
      <c r="C187" s="72" t="s">
        <v>117</v>
      </c>
      <c r="D187" s="73" t="s">
        <v>339</v>
      </c>
      <c r="E187" s="74" t="s">
        <v>340</v>
      </c>
      <c r="F187" s="75"/>
      <c r="G187" s="46"/>
    </row>
    <row r="188" spans="2:7" s="76" customFormat="1" ht="15.75">
      <c r="B188" s="83"/>
      <c r="C188" s="84"/>
      <c r="D188" s="79">
        <v>90004</v>
      </c>
      <c r="E188" s="85" t="s">
        <v>341</v>
      </c>
      <c r="F188" s="81">
        <f>F189+F193+F197</f>
        <v>6123299</v>
      </c>
      <c r="G188" s="82"/>
    </row>
    <row r="189" spans="2:7" s="76" customFormat="1" ht="15.75">
      <c r="B189" s="86"/>
      <c r="C189" s="224"/>
      <c r="D189" s="225"/>
      <c r="E189" s="137" t="s">
        <v>342</v>
      </c>
      <c r="F189" s="90">
        <f>SUM(F190:F192)</f>
        <v>5095299</v>
      </c>
      <c r="G189" s="82"/>
    </row>
    <row r="190" spans="2:7" s="94" customFormat="1" ht="15.75">
      <c r="B190" s="95" t="s">
        <v>343</v>
      </c>
      <c r="C190" s="226" t="s">
        <v>28</v>
      </c>
      <c r="D190" s="227" t="s">
        <v>344</v>
      </c>
      <c r="E190" s="228" t="s">
        <v>345</v>
      </c>
      <c r="F190" s="99">
        <v>100000</v>
      </c>
      <c r="G190" s="82"/>
    </row>
    <row r="191" spans="2:7" s="94" customFormat="1" ht="15.75">
      <c r="B191" s="95" t="s">
        <v>27</v>
      </c>
      <c r="C191" s="212" t="s">
        <v>28</v>
      </c>
      <c r="D191" s="227" t="s">
        <v>346</v>
      </c>
      <c r="E191" s="228" t="s">
        <v>347</v>
      </c>
      <c r="F191" s="99">
        <v>3000000</v>
      </c>
      <c r="G191" s="82" t="s">
        <v>103</v>
      </c>
    </row>
    <row r="192" spans="2:8" s="94" customFormat="1" ht="15.75">
      <c r="B192" s="95" t="s">
        <v>27</v>
      </c>
      <c r="C192" s="212" t="s">
        <v>28</v>
      </c>
      <c r="D192" s="227" t="s">
        <v>348</v>
      </c>
      <c r="E192" s="228" t="s">
        <v>349</v>
      </c>
      <c r="F192" s="99">
        <v>1995299</v>
      </c>
      <c r="G192" s="82"/>
      <c r="H192" s="94">
        <v>1995299</v>
      </c>
    </row>
    <row r="193" spans="2:7" s="146" customFormat="1" ht="12" customHeight="1">
      <c r="B193" s="95"/>
      <c r="C193" s="135"/>
      <c r="D193" s="97"/>
      <c r="E193" s="137" t="s">
        <v>350</v>
      </c>
      <c r="F193" s="112">
        <f>SUM(F194:F196)</f>
        <v>1020000</v>
      </c>
      <c r="G193" s="82"/>
    </row>
    <row r="194" spans="2:8" s="94" customFormat="1" ht="15.75">
      <c r="B194" s="95" t="s">
        <v>164</v>
      </c>
      <c r="C194" s="144" t="s">
        <v>351</v>
      </c>
      <c r="D194" s="97" t="s">
        <v>352</v>
      </c>
      <c r="E194" s="98" t="s">
        <v>358</v>
      </c>
      <c r="F194" s="99">
        <v>260000</v>
      </c>
      <c r="G194" s="82"/>
      <c r="H194" s="94">
        <v>260000</v>
      </c>
    </row>
    <row r="195" spans="2:7" s="94" customFormat="1" ht="15.75">
      <c r="B195" s="95" t="s">
        <v>164</v>
      </c>
      <c r="C195" s="144" t="s">
        <v>28</v>
      </c>
      <c r="D195" s="97" t="s">
        <v>359</v>
      </c>
      <c r="E195" s="98" t="s">
        <v>360</v>
      </c>
      <c r="F195" s="99">
        <v>700000</v>
      </c>
      <c r="G195" s="82"/>
    </row>
    <row r="196" spans="2:7" s="94" customFormat="1" ht="15.75">
      <c r="B196" s="95" t="s">
        <v>164</v>
      </c>
      <c r="C196" s="144" t="s">
        <v>28</v>
      </c>
      <c r="D196" s="97" t="s">
        <v>361</v>
      </c>
      <c r="E196" s="98" t="s">
        <v>362</v>
      </c>
      <c r="F196" s="99">
        <v>60000</v>
      </c>
      <c r="G196" s="82"/>
    </row>
    <row r="197" spans="2:7" s="94" customFormat="1" ht="16.5" customHeight="1">
      <c r="B197" s="95"/>
      <c r="C197" s="96"/>
      <c r="D197" s="97"/>
      <c r="E197" s="89" t="s">
        <v>136</v>
      </c>
      <c r="F197" s="112">
        <f>F198</f>
        <v>8000</v>
      </c>
      <c r="G197" s="82"/>
    </row>
    <row r="198" spans="2:7" s="94" customFormat="1" ht="14.25" customHeight="1">
      <c r="B198" s="95" t="s">
        <v>27</v>
      </c>
      <c r="C198" s="229" t="s">
        <v>519</v>
      </c>
      <c r="D198" s="97" t="s">
        <v>363</v>
      </c>
      <c r="E198" s="140" t="s">
        <v>0</v>
      </c>
      <c r="F198" s="99">
        <v>8000</v>
      </c>
      <c r="G198" s="82"/>
    </row>
    <row r="199" spans="2:7" s="76" customFormat="1" ht="15.75">
      <c r="B199" s="83"/>
      <c r="C199" s="84"/>
      <c r="D199" s="79">
        <v>90013</v>
      </c>
      <c r="E199" s="85" t="s">
        <v>1</v>
      </c>
      <c r="F199" s="81">
        <f>F200</f>
        <v>220000</v>
      </c>
      <c r="G199" s="82"/>
    </row>
    <row r="200" spans="2:7" s="76" customFormat="1" ht="15.75">
      <c r="B200" s="86"/>
      <c r="C200" s="87"/>
      <c r="D200" s="88"/>
      <c r="E200" s="230" t="s">
        <v>2</v>
      </c>
      <c r="F200" s="134">
        <f>F201+F202</f>
        <v>220000</v>
      </c>
      <c r="G200" s="82"/>
    </row>
    <row r="201" spans="2:7" s="76" customFormat="1" ht="15.75">
      <c r="B201" s="111" t="s">
        <v>104</v>
      </c>
      <c r="C201" s="87" t="s">
        <v>117</v>
      </c>
      <c r="D201" s="97" t="s">
        <v>3</v>
      </c>
      <c r="E201" s="98" t="s">
        <v>4</v>
      </c>
      <c r="F201" s="136">
        <v>120000</v>
      </c>
      <c r="G201" s="82"/>
    </row>
    <row r="202" spans="2:7" s="94" customFormat="1" ht="15.75">
      <c r="B202" s="95" t="s">
        <v>27</v>
      </c>
      <c r="C202" s="96" t="s">
        <v>117</v>
      </c>
      <c r="D202" s="147" t="s">
        <v>5</v>
      </c>
      <c r="E202" s="148" t="s">
        <v>6</v>
      </c>
      <c r="F202" s="149">
        <v>100000</v>
      </c>
      <c r="G202" s="82"/>
    </row>
    <row r="203" spans="2:7" s="76" customFormat="1" ht="15.75">
      <c r="B203" s="83"/>
      <c r="C203" s="84"/>
      <c r="D203" s="79">
        <v>90015</v>
      </c>
      <c r="E203" s="85" t="s">
        <v>7</v>
      </c>
      <c r="F203" s="81">
        <f>F204</f>
        <v>3994192</v>
      </c>
      <c r="G203" s="82"/>
    </row>
    <row r="204" spans="2:7" s="76" customFormat="1" ht="15.75">
      <c r="B204" s="86"/>
      <c r="C204" s="231"/>
      <c r="D204" s="232"/>
      <c r="E204" s="233" t="s">
        <v>53</v>
      </c>
      <c r="F204" s="234">
        <f>F205+F206</f>
        <v>3994192</v>
      </c>
      <c r="G204" s="82"/>
    </row>
    <row r="205" spans="2:8" s="76" customFormat="1" ht="15.75">
      <c r="B205" s="95" t="s">
        <v>27</v>
      </c>
      <c r="C205" s="96" t="s">
        <v>28</v>
      </c>
      <c r="D205" s="97" t="s">
        <v>8</v>
      </c>
      <c r="E205" s="98" t="s">
        <v>593</v>
      </c>
      <c r="F205" s="99">
        <f>200000+66132</f>
        <v>266132</v>
      </c>
      <c r="G205" s="82"/>
      <c r="H205" s="76">
        <v>66132</v>
      </c>
    </row>
    <row r="206" spans="2:7" s="76" customFormat="1" ht="15.75">
      <c r="B206" s="95" t="s">
        <v>27</v>
      </c>
      <c r="C206" s="96" t="s">
        <v>28</v>
      </c>
      <c r="D206" s="97" t="s">
        <v>594</v>
      </c>
      <c r="E206" s="98" t="s">
        <v>595</v>
      </c>
      <c r="F206" s="99">
        <v>3728060</v>
      </c>
      <c r="G206" s="82" t="s">
        <v>103</v>
      </c>
    </row>
    <row r="207" spans="2:7" s="76" customFormat="1" ht="15.75">
      <c r="B207" s="83"/>
      <c r="C207" s="84"/>
      <c r="D207" s="79">
        <v>90095</v>
      </c>
      <c r="E207" s="85" t="s">
        <v>153</v>
      </c>
      <c r="F207" s="81">
        <f>F208+F211</f>
        <v>3570000</v>
      </c>
      <c r="G207" s="82"/>
    </row>
    <row r="208" spans="2:7" s="76" customFormat="1" ht="14.25" customHeight="1">
      <c r="B208" s="111"/>
      <c r="C208" s="87"/>
      <c r="D208" s="88"/>
      <c r="E208" s="137" t="s">
        <v>2</v>
      </c>
      <c r="F208" s="134">
        <f>F209+F210</f>
        <v>120000</v>
      </c>
      <c r="G208" s="82"/>
    </row>
    <row r="209" spans="2:7" s="76" customFormat="1" ht="14.25" customHeight="1">
      <c r="B209" s="111" t="s">
        <v>27</v>
      </c>
      <c r="C209" s="87" t="s">
        <v>117</v>
      </c>
      <c r="D209" s="97" t="s">
        <v>596</v>
      </c>
      <c r="E209" s="228" t="s">
        <v>597</v>
      </c>
      <c r="F209" s="136">
        <v>100000</v>
      </c>
      <c r="G209" s="82"/>
    </row>
    <row r="210" spans="2:7" s="138" customFormat="1" ht="14.25" customHeight="1">
      <c r="B210" s="87" t="s">
        <v>27</v>
      </c>
      <c r="C210" s="87" t="s">
        <v>117</v>
      </c>
      <c r="D210" s="97" t="s">
        <v>598</v>
      </c>
      <c r="E210" s="228" t="s">
        <v>67</v>
      </c>
      <c r="F210" s="136">
        <v>20000</v>
      </c>
      <c r="G210" s="141"/>
    </row>
    <row r="211" spans="2:7" s="40" customFormat="1" ht="14.25" customHeight="1">
      <c r="B211" s="30"/>
      <c r="C211" s="132"/>
      <c r="D211" s="133"/>
      <c r="E211" s="137" t="s">
        <v>336</v>
      </c>
      <c r="F211" s="134">
        <f>F212</f>
        <v>3450000</v>
      </c>
      <c r="G211" s="46"/>
    </row>
    <row r="212" spans="2:7" s="76" customFormat="1" ht="14.25" customHeight="1">
      <c r="B212" s="95" t="s">
        <v>27</v>
      </c>
      <c r="C212" s="96" t="s">
        <v>28</v>
      </c>
      <c r="D212" s="97" t="s">
        <v>68</v>
      </c>
      <c r="E212" s="100" t="s">
        <v>69</v>
      </c>
      <c r="F212" s="125">
        <f>150000+3300000</f>
        <v>3450000</v>
      </c>
      <c r="G212" s="82"/>
    </row>
    <row r="213" spans="2:7" s="40" customFormat="1" ht="14.25" customHeight="1" hidden="1">
      <c r="B213" s="71" t="s">
        <v>27</v>
      </c>
      <c r="C213" s="72" t="s">
        <v>28</v>
      </c>
      <c r="D213" s="164" t="s">
        <v>70</v>
      </c>
      <c r="E213" s="167" t="s">
        <v>71</v>
      </c>
      <c r="F213" s="166"/>
      <c r="G213" s="46"/>
    </row>
    <row r="214" spans="2:7" s="76" customFormat="1" ht="15" customHeight="1">
      <c r="B214" s="77"/>
      <c r="C214" s="78"/>
      <c r="D214" s="79">
        <v>921</v>
      </c>
      <c r="E214" s="80" t="s">
        <v>72</v>
      </c>
      <c r="F214" s="81">
        <f>F215+F217+F219+F223+F225+F227+F232</f>
        <v>2243000</v>
      </c>
      <c r="G214" s="82"/>
    </row>
    <row r="215" spans="2:7" s="76" customFormat="1" ht="15" customHeight="1">
      <c r="B215" s="77"/>
      <c r="C215" s="78"/>
      <c r="D215" s="79">
        <v>92109</v>
      </c>
      <c r="E215" s="235" t="s">
        <v>73</v>
      </c>
      <c r="F215" s="81">
        <f>F216</f>
        <v>10000</v>
      </c>
      <c r="G215" s="82"/>
    </row>
    <row r="216" spans="2:7" s="76" customFormat="1" ht="15" customHeight="1">
      <c r="B216" s="77" t="s">
        <v>555</v>
      </c>
      <c r="C216" s="78" t="s">
        <v>28</v>
      </c>
      <c r="D216" s="205" t="s">
        <v>74</v>
      </c>
      <c r="E216" s="236" t="s">
        <v>75</v>
      </c>
      <c r="F216" s="207">
        <v>10000</v>
      </c>
      <c r="G216" s="82"/>
    </row>
    <row r="217" spans="2:7" s="76" customFormat="1" ht="15.75">
      <c r="B217" s="83"/>
      <c r="C217" s="84"/>
      <c r="D217" s="79">
        <v>92110</v>
      </c>
      <c r="E217" s="85" t="s">
        <v>76</v>
      </c>
      <c r="F217" s="81">
        <f>F218</f>
        <v>200000</v>
      </c>
      <c r="G217" s="82"/>
    </row>
    <row r="218" spans="2:7" s="76" customFormat="1" ht="15.75">
      <c r="B218" s="95" t="s">
        <v>555</v>
      </c>
      <c r="C218" s="144" t="s">
        <v>519</v>
      </c>
      <c r="D218" s="147" t="s">
        <v>77</v>
      </c>
      <c r="E218" s="148" t="s">
        <v>78</v>
      </c>
      <c r="F218" s="149">
        <v>200000</v>
      </c>
      <c r="G218" s="82"/>
    </row>
    <row r="219" spans="2:7" s="76" customFormat="1" ht="15.75">
      <c r="B219" s="83"/>
      <c r="C219" s="173"/>
      <c r="D219" s="79">
        <v>92113</v>
      </c>
      <c r="E219" s="85" t="s">
        <v>599</v>
      </c>
      <c r="F219" s="81">
        <f>F220</f>
        <v>750000</v>
      </c>
      <c r="G219" s="82"/>
    </row>
    <row r="220" spans="2:7" s="76" customFormat="1" ht="15.75">
      <c r="B220" s="111"/>
      <c r="C220" s="87"/>
      <c r="D220" s="88"/>
      <c r="E220" s="89" t="s">
        <v>600</v>
      </c>
      <c r="F220" s="112">
        <f>F221+F222</f>
        <v>750000</v>
      </c>
      <c r="G220" s="82"/>
    </row>
    <row r="221" spans="2:7" s="76" customFormat="1" ht="15.75" customHeight="1">
      <c r="B221" s="95" t="s">
        <v>555</v>
      </c>
      <c r="C221" s="144" t="s">
        <v>205</v>
      </c>
      <c r="D221" s="97" t="s">
        <v>601</v>
      </c>
      <c r="E221" s="100" t="s">
        <v>602</v>
      </c>
      <c r="F221" s="99">
        <v>700000</v>
      </c>
      <c r="G221" s="82"/>
    </row>
    <row r="222" spans="2:7" s="76" customFormat="1" ht="15.75">
      <c r="B222" s="208" t="s">
        <v>555</v>
      </c>
      <c r="C222" s="171" t="s">
        <v>28</v>
      </c>
      <c r="D222" s="147" t="s">
        <v>603</v>
      </c>
      <c r="E222" s="148" t="s">
        <v>604</v>
      </c>
      <c r="F222" s="149">
        <v>50000</v>
      </c>
      <c r="G222" s="82"/>
    </row>
    <row r="223" spans="2:7" s="76" customFormat="1" ht="15.75">
      <c r="B223" s="83"/>
      <c r="C223" s="84"/>
      <c r="D223" s="152">
        <v>92114</v>
      </c>
      <c r="E223" s="155" t="s">
        <v>79</v>
      </c>
      <c r="F223" s="154">
        <f>F224</f>
        <v>40000</v>
      </c>
      <c r="G223" s="82"/>
    </row>
    <row r="224" spans="2:7" s="76" customFormat="1" ht="15.75">
      <c r="B224" s="95" t="s">
        <v>555</v>
      </c>
      <c r="C224" s="144" t="s">
        <v>28</v>
      </c>
      <c r="D224" s="147" t="s">
        <v>80</v>
      </c>
      <c r="E224" s="148" t="s">
        <v>81</v>
      </c>
      <c r="F224" s="149">
        <v>40000</v>
      </c>
      <c r="G224" s="82"/>
    </row>
    <row r="225" spans="2:7" s="76" customFormat="1" ht="15.75">
      <c r="B225" s="83"/>
      <c r="C225" s="84"/>
      <c r="D225" s="79">
        <v>92116</v>
      </c>
      <c r="E225" s="85" t="s">
        <v>82</v>
      </c>
      <c r="F225" s="81">
        <f>F226</f>
        <v>60000</v>
      </c>
      <c r="G225" s="82"/>
    </row>
    <row r="226" spans="2:7" s="76" customFormat="1" ht="15.75">
      <c r="B226" s="95" t="s">
        <v>555</v>
      </c>
      <c r="C226" s="144" t="s">
        <v>28</v>
      </c>
      <c r="D226" s="97" t="s">
        <v>83</v>
      </c>
      <c r="E226" s="98" t="s">
        <v>84</v>
      </c>
      <c r="F226" s="99">
        <v>60000</v>
      </c>
      <c r="G226" s="82"/>
    </row>
    <row r="227" spans="2:7" s="76" customFormat="1" ht="15.75">
      <c r="B227" s="83"/>
      <c r="C227" s="84"/>
      <c r="D227" s="79">
        <v>92118</v>
      </c>
      <c r="E227" s="85" t="s">
        <v>85</v>
      </c>
      <c r="F227" s="81">
        <f>F228+F231</f>
        <v>330000</v>
      </c>
      <c r="G227" s="82"/>
    </row>
    <row r="228" spans="2:7" s="76" customFormat="1" ht="15.75">
      <c r="B228" s="111"/>
      <c r="C228" s="87"/>
      <c r="D228" s="88"/>
      <c r="E228" s="89" t="s">
        <v>86</v>
      </c>
      <c r="F228" s="112">
        <f>F229+F230</f>
        <v>300000</v>
      </c>
      <c r="G228" s="82"/>
    </row>
    <row r="229" spans="2:7" s="76" customFormat="1" ht="15.75">
      <c r="B229" s="95" t="s">
        <v>555</v>
      </c>
      <c r="C229" s="144" t="s">
        <v>28</v>
      </c>
      <c r="D229" s="97" t="s">
        <v>87</v>
      </c>
      <c r="E229" s="98" t="s">
        <v>88</v>
      </c>
      <c r="F229" s="99">
        <v>200000</v>
      </c>
      <c r="G229" s="82"/>
    </row>
    <row r="230" spans="2:7" s="76" customFormat="1" ht="15.75">
      <c r="B230" s="95" t="s">
        <v>555</v>
      </c>
      <c r="C230" s="144" t="s">
        <v>28</v>
      </c>
      <c r="D230" s="97" t="s">
        <v>89</v>
      </c>
      <c r="E230" s="98" t="s">
        <v>90</v>
      </c>
      <c r="F230" s="99">
        <v>100000</v>
      </c>
      <c r="G230" s="82"/>
    </row>
    <row r="231" spans="2:7" s="76" customFormat="1" ht="15.75">
      <c r="B231" s="95" t="s">
        <v>555</v>
      </c>
      <c r="C231" s="144" t="s">
        <v>28</v>
      </c>
      <c r="D231" s="147" t="s">
        <v>91</v>
      </c>
      <c r="E231" s="148" t="s">
        <v>92</v>
      </c>
      <c r="F231" s="149">
        <v>30000</v>
      </c>
      <c r="G231" s="82"/>
    </row>
    <row r="232" spans="2:7" s="76" customFormat="1" ht="18.75" customHeight="1">
      <c r="B232" s="196"/>
      <c r="C232" s="173"/>
      <c r="D232" s="152">
        <v>92195</v>
      </c>
      <c r="E232" s="155" t="s">
        <v>153</v>
      </c>
      <c r="F232" s="154">
        <f>F234</f>
        <v>853000</v>
      </c>
      <c r="G232" s="82"/>
    </row>
    <row r="233" spans="2:7" s="237" customFormat="1" ht="15.75" hidden="1">
      <c r="B233" s="71" t="s">
        <v>27</v>
      </c>
      <c r="C233" s="72" t="s">
        <v>28</v>
      </c>
      <c r="D233" s="73" t="s">
        <v>93</v>
      </c>
      <c r="E233" s="102" t="s">
        <v>94</v>
      </c>
      <c r="F233" s="75"/>
      <c r="G233" s="46"/>
    </row>
    <row r="234" spans="2:7" s="138" customFormat="1" ht="22.5">
      <c r="B234" s="95" t="s">
        <v>27</v>
      </c>
      <c r="C234" s="96" t="s">
        <v>28</v>
      </c>
      <c r="D234" s="97" t="s">
        <v>95</v>
      </c>
      <c r="E234" s="238" t="s">
        <v>605</v>
      </c>
      <c r="F234" s="99">
        <v>853000</v>
      </c>
      <c r="G234" s="82"/>
    </row>
    <row r="235" spans="2:7" s="237" customFormat="1" ht="15.75" customHeight="1" hidden="1">
      <c r="B235" s="71"/>
      <c r="C235" s="72"/>
      <c r="D235" s="73"/>
      <c r="E235" s="129" t="s">
        <v>606</v>
      </c>
      <c r="F235" s="130">
        <f>F236</f>
        <v>0</v>
      </c>
      <c r="G235" s="46"/>
    </row>
    <row r="236" spans="2:7" s="237" customFormat="1" ht="26.25" customHeight="1" hidden="1">
      <c r="B236" s="127" t="s">
        <v>27</v>
      </c>
      <c r="C236" s="128" t="s">
        <v>117</v>
      </c>
      <c r="D236" s="164" t="s">
        <v>607</v>
      </c>
      <c r="E236" s="239" t="s">
        <v>605</v>
      </c>
      <c r="F236" s="75"/>
      <c r="G236" s="46"/>
    </row>
    <row r="237" spans="2:7" s="76" customFormat="1" ht="15.75">
      <c r="B237" s="77"/>
      <c r="C237" s="78"/>
      <c r="D237" s="79">
        <v>925</v>
      </c>
      <c r="E237" s="240" t="s">
        <v>59</v>
      </c>
      <c r="F237" s="81">
        <f>F238</f>
        <v>2300000</v>
      </c>
      <c r="G237" s="82"/>
    </row>
    <row r="238" spans="2:7" s="76" customFormat="1" ht="15.75">
      <c r="B238" s="83"/>
      <c r="C238" s="84"/>
      <c r="D238" s="79">
        <v>92504</v>
      </c>
      <c r="E238" s="85" t="s">
        <v>60</v>
      </c>
      <c r="F238" s="81">
        <f>F239+F243</f>
        <v>2300000</v>
      </c>
      <c r="G238" s="82"/>
    </row>
    <row r="239" spans="2:7" s="76" customFormat="1" ht="18" customHeight="1">
      <c r="B239" s="86"/>
      <c r="C239" s="157"/>
      <c r="D239" s="158"/>
      <c r="E239" s="159" t="s">
        <v>61</v>
      </c>
      <c r="F239" s="90">
        <f>F240+F241+F242</f>
        <v>1100000</v>
      </c>
      <c r="G239" s="82"/>
    </row>
    <row r="240" spans="2:7" s="94" customFormat="1" ht="15.75">
      <c r="B240" s="95" t="s">
        <v>27</v>
      </c>
      <c r="C240" s="96" t="s">
        <v>28</v>
      </c>
      <c r="D240" s="97" t="s">
        <v>62</v>
      </c>
      <c r="E240" s="98" t="s">
        <v>63</v>
      </c>
      <c r="F240" s="99">
        <v>500000</v>
      </c>
      <c r="G240" s="82"/>
    </row>
    <row r="241" spans="2:7" s="76" customFormat="1" ht="13.5" customHeight="1">
      <c r="B241" s="95" t="s">
        <v>104</v>
      </c>
      <c r="C241" s="144" t="s">
        <v>28</v>
      </c>
      <c r="D241" s="97" t="s">
        <v>64</v>
      </c>
      <c r="E241" s="98" t="s">
        <v>65</v>
      </c>
      <c r="F241" s="99">
        <v>100000</v>
      </c>
      <c r="G241" s="82"/>
    </row>
    <row r="242" spans="2:7" s="76" customFormat="1" ht="15.75">
      <c r="B242" s="95" t="s">
        <v>27</v>
      </c>
      <c r="C242" s="96" t="s">
        <v>117</v>
      </c>
      <c r="D242" s="97" t="s">
        <v>66</v>
      </c>
      <c r="E242" s="98" t="s">
        <v>21</v>
      </c>
      <c r="F242" s="99">
        <v>500000</v>
      </c>
      <c r="G242" s="82"/>
    </row>
    <row r="243" spans="2:7" s="76" customFormat="1" ht="13.5" customHeight="1">
      <c r="B243" s="111"/>
      <c r="C243" s="87"/>
      <c r="D243" s="88"/>
      <c r="E243" s="89" t="s">
        <v>22</v>
      </c>
      <c r="F243" s="112">
        <f>F244+F245+F246</f>
        <v>1200000</v>
      </c>
      <c r="G243" s="82"/>
    </row>
    <row r="244" spans="2:7" s="76" customFormat="1" ht="15.75">
      <c r="B244" s="95" t="s">
        <v>104</v>
      </c>
      <c r="C244" s="144" t="s">
        <v>28</v>
      </c>
      <c r="D244" s="97" t="s">
        <v>23</v>
      </c>
      <c r="E244" s="98" t="s">
        <v>377</v>
      </c>
      <c r="F244" s="99">
        <v>100000</v>
      </c>
      <c r="G244" s="82"/>
    </row>
    <row r="245" spans="2:7" s="76" customFormat="1" ht="14.25" customHeight="1">
      <c r="B245" s="95" t="s">
        <v>27</v>
      </c>
      <c r="C245" s="96" t="s">
        <v>28</v>
      </c>
      <c r="D245" s="97" t="s">
        <v>378</v>
      </c>
      <c r="E245" s="98" t="s">
        <v>379</v>
      </c>
      <c r="F245" s="99">
        <v>100000</v>
      </c>
      <c r="G245" s="82"/>
    </row>
    <row r="246" spans="2:7" s="76" customFormat="1" ht="14.25" customHeight="1">
      <c r="B246" s="208" t="s">
        <v>27</v>
      </c>
      <c r="C246" s="209" t="s">
        <v>28</v>
      </c>
      <c r="D246" s="147" t="s">
        <v>380</v>
      </c>
      <c r="E246" s="148" t="s">
        <v>381</v>
      </c>
      <c r="F246" s="149">
        <v>1000000</v>
      </c>
      <c r="G246" s="82"/>
    </row>
    <row r="247" spans="2:7" s="76" customFormat="1" ht="15.75" customHeight="1">
      <c r="B247" s="150"/>
      <c r="C247" s="151"/>
      <c r="D247" s="152">
        <v>926</v>
      </c>
      <c r="E247" s="153" t="s">
        <v>382</v>
      </c>
      <c r="F247" s="154">
        <f>F248+F264+F277</f>
        <v>15626343</v>
      </c>
      <c r="G247" s="82"/>
    </row>
    <row r="248" spans="2:7" s="76" customFormat="1" ht="15.75">
      <c r="B248" s="83"/>
      <c r="C248" s="84"/>
      <c r="D248" s="79">
        <v>92601</v>
      </c>
      <c r="E248" s="85" t="s">
        <v>383</v>
      </c>
      <c r="F248" s="81">
        <f>F249+F250</f>
        <v>746469</v>
      </c>
      <c r="G248" s="82"/>
    </row>
    <row r="249" spans="2:7" s="138" customFormat="1" ht="15" customHeight="1">
      <c r="B249" s="111" t="s">
        <v>27</v>
      </c>
      <c r="C249" s="139" t="s">
        <v>28</v>
      </c>
      <c r="D249" s="97" t="s">
        <v>384</v>
      </c>
      <c r="E249" s="98" t="s">
        <v>385</v>
      </c>
      <c r="F249" s="136">
        <v>100000</v>
      </c>
      <c r="G249" s="82"/>
    </row>
    <row r="250" spans="2:7" s="94" customFormat="1" ht="21" customHeight="1">
      <c r="B250" s="95"/>
      <c r="C250" s="135"/>
      <c r="D250" s="88"/>
      <c r="E250" s="89" t="s">
        <v>386</v>
      </c>
      <c r="F250" s="134">
        <f>SUM(F251:F263)</f>
        <v>646469</v>
      </c>
      <c r="G250" s="82"/>
    </row>
    <row r="251" spans="2:7" s="241" customFormat="1" ht="15.75" hidden="1">
      <c r="B251" s="71" t="s">
        <v>27</v>
      </c>
      <c r="C251" s="72" t="s">
        <v>117</v>
      </c>
      <c r="D251" s="73" t="s">
        <v>387</v>
      </c>
      <c r="E251" s="74" t="s">
        <v>37</v>
      </c>
      <c r="F251" s="75"/>
      <c r="G251" s="46"/>
    </row>
    <row r="252" spans="2:7" s="242" customFormat="1" ht="15.75">
      <c r="B252" s="95" t="s">
        <v>27</v>
      </c>
      <c r="C252" s="96" t="s">
        <v>28</v>
      </c>
      <c r="D252" s="97" t="s">
        <v>38</v>
      </c>
      <c r="E252" s="98" t="s">
        <v>39</v>
      </c>
      <c r="F252" s="99">
        <v>33000</v>
      </c>
      <c r="G252" s="82"/>
    </row>
    <row r="253" spans="2:7" s="242" customFormat="1" ht="15.75">
      <c r="B253" s="208" t="s">
        <v>27</v>
      </c>
      <c r="C253" s="96" t="s">
        <v>519</v>
      </c>
      <c r="D253" s="97" t="s">
        <v>397</v>
      </c>
      <c r="E253" s="98" t="s">
        <v>398</v>
      </c>
      <c r="F253" s="99">
        <v>120000</v>
      </c>
      <c r="G253" s="82"/>
    </row>
    <row r="254" spans="2:7" s="242" customFormat="1" ht="13.5" customHeight="1">
      <c r="B254" s="208" t="s">
        <v>27</v>
      </c>
      <c r="C254" s="96" t="s">
        <v>28</v>
      </c>
      <c r="D254" s="97" t="s">
        <v>399</v>
      </c>
      <c r="E254" s="98" t="s">
        <v>400</v>
      </c>
      <c r="F254" s="99">
        <v>37255</v>
      </c>
      <c r="G254" s="82"/>
    </row>
    <row r="255" spans="2:7" s="242" customFormat="1" ht="15.75">
      <c r="B255" s="208" t="s">
        <v>27</v>
      </c>
      <c r="C255" s="96" t="s">
        <v>28</v>
      </c>
      <c r="D255" s="97" t="s">
        <v>401</v>
      </c>
      <c r="E255" s="100" t="s">
        <v>402</v>
      </c>
      <c r="F255" s="99">
        <v>30000</v>
      </c>
      <c r="G255" s="82"/>
    </row>
    <row r="256" spans="2:7" s="243" customFormat="1" ht="14.25" customHeight="1">
      <c r="B256" s="208" t="s">
        <v>27</v>
      </c>
      <c r="C256" s="96" t="s">
        <v>117</v>
      </c>
      <c r="D256" s="97" t="s">
        <v>403</v>
      </c>
      <c r="E256" s="98" t="s">
        <v>98</v>
      </c>
      <c r="F256" s="99">
        <v>25000</v>
      </c>
      <c r="G256" s="46"/>
    </row>
    <row r="257" spans="2:8" s="242" customFormat="1" ht="14.25" customHeight="1">
      <c r="B257" s="208" t="s">
        <v>27</v>
      </c>
      <c r="C257" s="96" t="s">
        <v>117</v>
      </c>
      <c r="D257" s="97" t="s">
        <v>99</v>
      </c>
      <c r="E257" s="98" t="s">
        <v>370</v>
      </c>
      <c r="F257" s="99">
        <v>228326</v>
      </c>
      <c r="G257" s="82"/>
      <c r="H257" s="242">
        <v>228326</v>
      </c>
    </row>
    <row r="258" spans="2:7" s="76" customFormat="1" ht="15.75">
      <c r="B258" s="208" t="s">
        <v>27</v>
      </c>
      <c r="C258" s="96" t="s">
        <v>117</v>
      </c>
      <c r="D258" s="97" t="s">
        <v>371</v>
      </c>
      <c r="E258" s="98" t="s">
        <v>372</v>
      </c>
      <c r="F258" s="99">
        <v>40000</v>
      </c>
      <c r="G258" s="82"/>
    </row>
    <row r="259" spans="2:7" s="242" customFormat="1" ht="15.75">
      <c r="B259" s="208" t="s">
        <v>27</v>
      </c>
      <c r="C259" s="96" t="s">
        <v>117</v>
      </c>
      <c r="D259" s="97" t="s">
        <v>373</v>
      </c>
      <c r="E259" s="100" t="s">
        <v>374</v>
      </c>
      <c r="F259" s="99">
        <v>11000</v>
      </c>
      <c r="G259" s="82"/>
    </row>
    <row r="260" spans="2:7" s="76" customFormat="1" ht="14.25" customHeight="1">
      <c r="B260" s="208" t="s">
        <v>27</v>
      </c>
      <c r="C260" s="96" t="s">
        <v>28</v>
      </c>
      <c r="D260" s="97" t="s">
        <v>375</v>
      </c>
      <c r="E260" s="100" t="s">
        <v>376</v>
      </c>
      <c r="F260" s="99">
        <v>21888</v>
      </c>
      <c r="G260" s="82"/>
    </row>
    <row r="261" spans="2:7" s="76" customFormat="1" ht="14.25" customHeight="1">
      <c r="B261" s="208" t="s">
        <v>27</v>
      </c>
      <c r="C261" s="96" t="s">
        <v>28</v>
      </c>
      <c r="D261" s="97" t="s">
        <v>152</v>
      </c>
      <c r="E261" s="228" t="s">
        <v>404</v>
      </c>
      <c r="F261" s="99">
        <v>30000</v>
      </c>
      <c r="G261" s="82"/>
    </row>
    <row r="262" spans="2:7" s="76" customFormat="1" ht="15.75">
      <c r="B262" s="208" t="s">
        <v>27</v>
      </c>
      <c r="C262" s="96" t="s">
        <v>28</v>
      </c>
      <c r="D262" s="97" t="s">
        <v>405</v>
      </c>
      <c r="E262" s="98" t="s">
        <v>406</v>
      </c>
      <c r="F262" s="99">
        <v>50000</v>
      </c>
      <c r="G262" s="82"/>
    </row>
    <row r="263" spans="2:7" s="76" customFormat="1" ht="14.25" customHeight="1">
      <c r="B263" s="95" t="s">
        <v>104</v>
      </c>
      <c r="C263" s="209" t="s">
        <v>117</v>
      </c>
      <c r="D263" s="147" t="s">
        <v>407</v>
      </c>
      <c r="E263" s="148" t="s">
        <v>408</v>
      </c>
      <c r="F263" s="149">
        <v>20000</v>
      </c>
      <c r="G263" s="82"/>
    </row>
    <row r="264" spans="2:7" s="76" customFormat="1" ht="18.75" customHeight="1">
      <c r="B264" s="83"/>
      <c r="C264" s="173"/>
      <c r="D264" s="152">
        <v>92604</v>
      </c>
      <c r="E264" s="155" t="s">
        <v>409</v>
      </c>
      <c r="F264" s="154">
        <f>F265</f>
        <v>14879874</v>
      </c>
      <c r="G264" s="82"/>
    </row>
    <row r="265" spans="2:7" s="94" customFormat="1" ht="15.75">
      <c r="B265" s="95"/>
      <c r="C265" s="135"/>
      <c r="D265" s="88"/>
      <c r="E265" s="89" t="s">
        <v>410</v>
      </c>
      <c r="F265" s="134">
        <f>SUM(F266:F276)</f>
        <v>14879874</v>
      </c>
      <c r="G265" s="82"/>
    </row>
    <row r="266" spans="2:7" s="109" customFormat="1" ht="14.25" customHeight="1">
      <c r="B266" s="95" t="s">
        <v>164</v>
      </c>
      <c r="C266" s="96" t="s">
        <v>28</v>
      </c>
      <c r="D266" s="97" t="s">
        <v>411</v>
      </c>
      <c r="E266" s="98" t="s">
        <v>412</v>
      </c>
      <c r="F266" s="99">
        <v>500000</v>
      </c>
      <c r="G266" s="82"/>
    </row>
    <row r="267" spans="2:7" s="109" customFormat="1" ht="15.75">
      <c r="B267" s="95" t="s">
        <v>164</v>
      </c>
      <c r="C267" s="96" t="s">
        <v>202</v>
      </c>
      <c r="D267" s="97" t="s">
        <v>413</v>
      </c>
      <c r="E267" s="98" t="s">
        <v>414</v>
      </c>
      <c r="F267" s="99">
        <v>200000</v>
      </c>
      <c r="G267" s="82"/>
    </row>
    <row r="268" spans="2:7" s="76" customFormat="1" ht="14.25" customHeight="1">
      <c r="B268" s="95" t="s">
        <v>164</v>
      </c>
      <c r="C268" s="144" t="s">
        <v>202</v>
      </c>
      <c r="D268" s="97" t="s">
        <v>415</v>
      </c>
      <c r="E268" s="98" t="s">
        <v>416</v>
      </c>
      <c r="F268" s="99">
        <v>990000</v>
      </c>
      <c r="G268" s="82"/>
    </row>
    <row r="269" spans="2:8" s="76" customFormat="1" ht="14.25" customHeight="1">
      <c r="B269" s="95" t="s">
        <v>164</v>
      </c>
      <c r="C269" s="144" t="s">
        <v>28</v>
      </c>
      <c r="D269" s="97" t="s">
        <v>417</v>
      </c>
      <c r="E269" s="98" t="s">
        <v>418</v>
      </c>
      <c r="F269" s="99">
        <f>3000000+30000</f>
        <v>3030000</v>
      </c>
      <c r="G269" s="46" t="s">
        <v>103</v>
      </c>
      <c r="H269" s="76">
        <v>30000</v>
      </c>
    </row>
    <row r="270" spans="2:7" s="76" customFormat="1" ht="15.75">
      <c r="B270" s="95" t="s">
        <v>164</v>
      </c>
      <c r="C270" s="144" t="s">
        <v>28</v>
      </c>
      <c r="D270" s="97" t="s">
        <v>419</v>
      </c>
      <c r="E270" s="98" t="s">
        <v>420</v>
      </c>
      <c r="F270" s="99">
        <v>160000</v>
      </c>
      <c r="G270" s="82"/>
    </row>
    <row r="271" spans="2:7" s="76" customFormat="1" ht="15.75">
      <c r="B271" s="95" t="s">
        <v>164</v>
      </c>
      <c r="C271" s="144" t="s">
        <v>28</v>
      </c>
      <c r="D271" s="97" t="s">
        <v>421</v>
      </c>
      <c r="E271" s="98" t="s">
        <v>422</v>
      </c>
      <c r="F271" s="99">
        <v>2900000</v>
      </c>
      <c r="G271" s="82"/>
    </row>
    <row r="272" spans="2:7" s="76" customFormat="1" ht="15.75">
      <c r="B272" s="95" t="s">
        <v>164</v>
      </c>
      <c r="C272" s="144" t="s">
        <v>423</v>
      </c>
      <c r="D272" s="97" t="s">
        <v>424</v>
      </c>
      <c r="E272" s="98" t="s">
        <v>425</v>
      </c>
      <c r="F272" s="99">
        <f>500000+500000</f>
        <v>1000000</v>
      </c>
      <c r="G272" s="82"/>
    </row>
    <row r="273" spans="2:8" s="76" customFormat="1" ht="15.75">
      <c r="B273" s="95" t="s">
        <v>164</v>
      </c>
      <c r="C273" s="144" t="s">
        <v>28</v>
      </c>
      <c r="D273" s="97" t="s">
        <v>426</v>
      </c>
      <c r="E273" s="98" t="s">
        <v>427</v>
      </c>
      <c r="F273" s="99">
        <f>500000+25000</f>
        <v>525000</v>
      </c>
      <c r="G273" s="82"/>
      <c r="H273" s="76">
        <v>25000</v>
      </c>
    </row>
    <row r="274" spans="2:6" s="9" customFormat="1" ht="14.25">
      <c r="B274" s="244" t="s">
        <v>164</v>
      </c>
      <c r="C274" s="245" t="s">
        <v>117</v>
      </c>
      <c r="D274" s="97" t="s">
        <v>428</v>
      </c>
      <c r="E274" s="246" t="s">
        <v>429</v>
      </c>
      <c r="F274" s="99">
        <v>990000</v>
      </c>
    </row>
    <row r="275" spans="2:6" s="247" customFormat="1" ht="14.25">
      <c r="B275" s="248" t="s">
        <v>164</v>
      </c>
      <c r="C275" s="249" t="s">
        <v>423</v>
      </c>
      <c r="D275" s="123" t="s">
        <v>430</v>
      </c>
      <c r="E275" s="250" t="s">
        <v>431</v>
      </c>
      <c r="F275" s="125">
        <v>3974874</v>
      </c>
    </row>
    <row r="276" spans="2:6" s="247" customFormat="1" ht="14.25">
      <c r="B276" s="251" t="s">
        <v>164</v>
      </c>
      <c r="C276" s="252" t="s">
        <v>117</v>
      </c>
      <c r="D276" s="123" t="s">
        <v>432</v>
      </c>
      <c r="E276" s="253" t="s">
        <v>433</v>
      </c>
      <c r="F276" s="125">
        <v>610000</v>
      </c>
    </row>
    <row r="277" spans="2:7" s="40" customFormat="1" ht="15.75" hidden="1">
      <c r="B277" s="58"/>
      <c r="C277" s="59"/>
      <c r="D277" s="67">
        <v>92695</v>
      </c>
      <c r="E277" s="69" t="s">
        <v>153</v>
      </c>
      <c r="F277" s="68">
        <f>F278</f>
        <v>0</v>
      </c>
      <c r="G277" s="46"/>
    </row>
    <row r="278" spans="2:7" s="254" customFormat="1" ht="15.75" hidden="1">
      <c r="B278" s="30"/>
      <c r="C278" s="132"/>
      <c r="D278" s="255"/>
      <c r="E278" s="129" t="s">
        <v>136</v>
      </c>
      <c r="F278" s="130">
        <f>F279+F281+F280</f>
        <v>0</v>
      </c>
      <c r="G278" s="46"/>
    </row>
    <row r="279" spans="2:7" s="237" customFormat="1" ht="15.75" hidden="1">
      <c r="B279" s="30" t="s">
        <v>27</v>
      </c>
      <c r="C279" s="31" t="s">
        <v>117</v>
      </c>
      <c r="D279" s="73" t="s">
        <v>434</v>
      </c>
      <c r="E279" s="74" t="s">
        <v>105</v>
      </c>
      <c r="F279" s="75"/>
      <c r="G279" s="46"/>
    </row>
    <row r="280" spans="2:7" s="254" customFormat="1" ht="14.25" customHeight="1" hidden="1">
      <c r="B280" s="71" t="s">
        <v>27</v>
      </c>
      <c r="C280" s="72" t="s">
        <v>28</v>
      </c>
      <c r="D280" s="73" t="s">
        <v>106</v>
      </c>
      <c r="E280" s="74" t="s">
        <v>107</v>
      </c>
      <c r="F280" s="75"/>
      <c r="G280" s="46"/>
    </row>
    <row r="281" spans="2:7" s="254" customFormat="1" ht="14.25" customHeight="1" hidden="1">
      <c r="B281" s="256" t="s">
        <v>27</v>
      </c>
      <c r="C281" s="257" t="s">
        <v>117</v>
      </c>
      <c r="D281" s="258" t="s">
        <v>108</v>
      </c>
      <c r="E281" s="259" t="s">
        <v>109</v>
      </c>
      <c r="F281" s="260"/>
      <c r="G281" s="46"/>
    </row>
    <row r="282" spans="2:7" s="254" customFormat="1" ht="21" customHeight="1" hidden="1">
      <c r="B282" s="71"/>
      <c r="C282" s="72"/>
      <c r="D282" s="463" t="s">
        <v>169</v>
      </c>
      <c r="E282" s="463"/>
      <c r="F282" s="261">
        <f>F283</f>
        <v>0</v>
      </c>
      <c r="G282" s="46"/>
    </row>
    <row r="283" spans="2:7" s="254" customFormat="1" ht="14.25" customHeight="1" hidden="1">
      <c r="B283" s="71"/>
      <c r="C283" s="72"/>
      <c r="D283" s="67">
        <v>710</v>
      </c>
      <c r="E283" s="61" t="s">
        <v>522</v>
      </c>
      <c r="F283" s="68">
        <f>F284</f>
        <v>0</v>
      </c>
      <c r="G283" s="46"/>
    </row>
    <row r="284" spans="2:7" s="254" customFormat="1" ht="14.25" customHeight="1" hidden="1">
      <c r="B284" s="71"/>
      <c r="C284" s="72"/>
      <c r="D284" s="67">
        <v>71035</v>
      </c>
      <c r="E284" s="69" t="s">
        <v>170</v>
      </c>
      <c r="F284" s="68">
        <f>F285</f>
        <v>0</v>
      </c>
      <c r="G284" s="46"/>
    </row>
    <row r="285" spans="2:7" s="254" customFormat="1" ht="14.25" customHeight="1" hidden="1">
      <c r="B285" s="71" t="s">
        <v>27</v>
      </c>
      <c r="C285" s="72" t="s">
        <v>28</v>
      </c>
      <c r="D285" s="73" t="s">
        <v>171</v>
      </c>
      <c r="E285" s="102" t="s">
        <v>435</v>
      </c>
      <c r="F285" s="75"/>
      <c r="G285" s="46"/>
    </row>
    <row r="286" spans="2:9" s="262" customFormat="1" ht="15.75">
      <c r="B286" s="263"/>
      <c r="C286" s="263"/>
      <c r="D286" s="264" t="s">
        <v>436</v>
      </c>
      <c r="E286" s="265"/>
      <c r="F286" s="266">
        <f>F288+F363</f>
        <v>192099609</v>
      </c>
      <c r="G286" s="82"/>
      <c r="I286" s="267"/>
    </row>
    <row r="287" spans="2:7" s="76" customFormat="1" ht="14.25" customHeight="1">
      <c r="B287" s="83"/>
      <c r="C287" s="84"/>
      <c r="D287" s="268" t="s">
        <v>394</v>
      </c>
      <c r="E287" s="80"/>
      <c r="F287" s="269"/>
      <c r="G287" s="82"/>
    </row>
    <row r="288" spans="2:7" s="262" customFormat="1" ht="15.75">
      <c r="B288" s="270"/>
      <c r="C288" s="263"/>
      <c r="D288" s="271" t="s">
        <v>437</v>
      </c>
      <c r="E288" s="272"/>
      <c r="F288" s="273">
        <f>F289+F306+F316+F327+F333+F343+F346+F349</f>
        <v>191899609</v>
      </c>
      <c r="G288" s="82"/>
    </row>
    <row r="289" spans="2:7" s="76" customFormat="1" ht="15.75" customHeight="1">
      <c r="B289" s="77"/>
      <c r="C289" s="78"/>
      <c r="D289" s="79">
        <v>600</v>
      </c>
      <c r="E289" s="80" t="s">
        <v>31</v>
      </c>
      <c r="F289" s="81">
        <f>F290</f>
        <v>169200000</v>
      </c>
      <c r="G289" s="82"/>
    </row>
    <row r="290" spans="2:7" s="76" customFormat="1" ht="21" customHeight="1">
      <c r="B290" s="83"/>
      <c r="C290" s="84"/>
      <c r="D290" s="79">
        <v>60015</v>
      </c>
      <c r="E290" s="85" t="s">
        <v>438</v>
      </c>
      <c r="F290" s="81">
        <f>F291</f>
        <v>169200000</v>
      </c>
      <c r="G290" s="82"/>
    </row>
    <row r="291" spans="2:7" s="76" customFormat="1" ht="15.75">
      <c r="B291" s="111"/>
      <c r="C291" s="87"/>
      <c r="D291" s="158"/>
      <c r="E291" s="159" t="s">
        <v>53</v>
      </c>
      <c r="F291" s="274">
        <f>SUM(F292:F305)</f>
        <v>169200000</v>
      </c>
      <c r="G291" s="82"/>
    </row>
    <row r="292" spans="2:7" s="76" customFormat="1" ht="15.75">
      <c r="B292" s="95" t="s">
        <v>27</v>
      </c>
      <c r="C292" s="96" t="s">
        <v>28</v>
      </c>
      <c r="D292" s="97" t="s">
        <v>439</v>
      </c>
      <c r="E292" s="275" t="s">
        <v>440</v>
      </c>
      <c r="F292" s="99">
        <v>500000</v>
      </c>
      <c r="G292" s="82"/>
    </row>
    <row r="293" spans="2:7" s="76" customFormat="1" ht="15.75">
      <c r="B293" s="95" t="s">
        <v>27</v>
      </c>
      <c r="C293" s="96" t="s">
        <v>28</v>
      </c>
      <c r="D293" s="97" t="s">
        <v>441</v>
      </c>
      <c r="E293" s="98" t="s">
        <v>442</v>
      </c>
      <c r="F293" s="99">
        <v>3000000</v>
      </c>
      <c r="G293" s="82"/>
    </row>
    <row r="294" spans="2:7" s="76" customFormat="1" ht="15.75">
      <c r="B294" s="95" t="s">
        <v>27</v>
      </c>
      <c r="C294" s="96" t="s">
        <v>28</v>
      </c>
      <c r="D294" s="97" t="s">
        <v>443</v>
      </c>
      <c r="E294" s="98" t="s">
        <v>444</v>
      </c>
      <c r="F294" s="99">
        <v>500000</v>
      </c>
      <c r="G294" s="82"/>
    </row>
    <row r="295" spans="2:7" s="103" customFormat="1" ht="15.75" hidden="1">
      <c r="B295" s="104" t="s">
        <v>27</v>
      </c>
      <c r="C295" s="105" t="s">
        <v>28</v>
      </c>
      <c r="D295" s="276" t="s">
        <v>445</v>
      </c>
      <c r="E295" s="106" t="s">
        <v>446</v>
      </c>
      <c r="F295" s="107"/>
      <c r="G295" s="108"/>
    </row>
    <row r="296" spans="2:7" s="76" customFormat="1" ht="13.5" customHeight="1">
      <c r="B296" s="95" t="s">
        <v>27</v>
      </c>
      <c r="C296" s="96" t="s">
        <v>28</v>
      </c>
      <c r="D296" s="97" t="s">
        <v>447</v>
      </c>
      <c r="E296" s="98" t="s">
        <v>448</v>
      </c>
      <c r="F296" s="99">
        <v>2000000</v>
      </c>
      <c r="G296" s="82"/>
    </row>
    <row r="297" spans="2:7" s="76" customFormat="1" ht="15.75">
      <c r="B297" s="95" t="s">
        <v>27</v>
      </c>
      <c r="C297" s="96" t="s">
        <v>28</v>
      </c>
      <c r="D297" s="97" t="s">
        <v>449</v>
      </c>
      <c r="E297" s="98" t="s">
        <v>450</v>
      </c>
      <c r="F297" s="99">
        <v>500000</v>
      </c>
      <c r="G297" s="82"/>
    </row>
    <row r="298" spans="2:7" s="76" customFormat="1" ht="15.75">
      <c r="B298" s="95" t="s">
        <v>27</v>
      </c>
      <c r="C298" s="96" t="s">
        <v>28</v>
      </c>
      <c r="D298" s="97" t="s">
        <v>451</v>
      </c>
      <c r="E298" s="98" t="s">
        <v>452</v>
      </c>
      <c r="F298" s="99">
        <v>500000</v>
      </c>
      <c r="G298" s="82"/>
    </row>
    <row r="299" spans="2:7" s="76" customFormat="1" ht="15.75">
      <c r="B299" s="95" t="s">
        <v>104</v>
      </c>
      <c r="C299" s="144" t="s">
        <v>28</v>
      </c>
      <c r="D299" s="97" t="s">
        <v>453</v>
      </c>
      <c r="E299" s="98" t="s">
        <v>454</v>
      </c>
      <c r="F299" s="99">
        <v>200000</v>
      </c>
      <c r="G299" s="82"/>
    </row>
    <row r="300" spans="2:7" s="76" customFormat="1" ht="14.25" customHeight="1">
      <c r="B300" s="95" t="s">
        <v>27</v>
      </c>
      <c r="C300" s="96" t="s">
        <v>117</v>
      </c>
      <c r="D300" s="97" t="s">
        <v>455</v>
      </c>
      <c r="E300" s="98" t="s">
        <v>456</v>
      </c>
      <c r="F300" s="99">
        <v>2500000</v>
      </c>
      <c r="G300" s="82"/>
    </row>
    <row r="301" spans="2:7" s="40" customFormat="1" ht="15.75" hidden="1">
      <c r="B301" s="277" t="s">
        <v>27</v>
      </c>
      <c r="C301" s="278" t="s">
        <v>28</v>
      </c>
      <c r="D301" s="73" t="s">
        <v>457</v>
      </c>
      <c r="E301" s="74" t="s">
        <v>458</v>
      </c>
      <c r="F301" s="75"/>
      <c r="G301" s="46"/>
    </row>
    <row r="302" spans="2:7" s="76" customFormat="1" ht="15.75">
      <c r="B302" s="95" t="s">
        <v>27</v>
      </c>
      <c r="C302" s="96" t="s">
        <v>28</v>
      </c>
      <c r="D302" s="97" t="s">
        <v>459</v>
      </c>
      <c r="E302" s="98" t="s">
        <v>460</v>
      </c>
      <c r="F302" s="99">
        <v>29500000</v>
      </c>
      <c r="G302" s="82"/>
    </row>
    <row r="303" spans="2:7" s="76" customFormat="1" ht="15.75">
      <c r="B303" s="95" t="s">
        <v>27</v>
      </c>
      <c r="C303" s="96" t="s">
        <v>28</v>
      </c>
      <c r="D303" s="97" t="s">
        <v>461</v>
      </c>
      <c r="E303" s="100" t="s">
        <v>462</v>
      </c>
      <c r="F303" s="99">
        <v>60000000</v>
      </c>
      <c r="G303" s="82" t="s">
        <v>103</v>
      </c>
    </row>
    <row r="304" spans="2:7" s="76" customFormat="1" ht="20.25" customHeight="1">
      <c r="B304" s="95" t="s">
        <v>27</v>
      </c>
      <c r="C304" s="96" t="s">
        <v>28</v>
      </c>
      <c r="D304" s="97" t="s">
        <v>463</v>
      </c>
      <c r="E304" s="100" t="s">
        <v>464</v>
      </c>
      <c r="F304" s="99">
        <v>20000000</v>
      </c>
      <c r="G304" s="82"/>
    </row>
    <row r="305" spans="2:7" s="94" customFormat="1" ht="15.75">
      <c r="B305" s="208" t="s">
        <v>27</v>
      </c>
      <c r="C305" s="209" t="s">
        <v>28</v>
      </c>
      <c r="D305" s="97" t="s">
        <v>465</v>
      </c>
      <c r="E305" s="98" t="s">
        <v>466</v>
      </c>
      <c r="F305" s="99">
        <v>50000000</v>
      </c>
      <c r="G305" s="101"/>
    </row>
    <row r="306" spans="2:7" s="76" customFormat="1" ht="15.75" customHeight="1">
      <c r="B306" s="77"/>
      <c r="C306" s="78"/>
      <c r="D306" s="79">
        <v>754</v>
      </c>
      <c r="E306" s="80" t="s">
        <v>318</v>
      </c>
      <c r="F306" s="81">
        <f>F307+F309+F311+F314</f>
        <v>1335789</v>
      </c>
      <c r="G306" s="82"/>
    </row>
    <row r="307" spans="2:7" s="76" customFormat="1" ht="15.75">
      <c r="B307" s="83"/>
      <c r="C307" s="84"/>
      <c r="D307" s="79">
        <v>75404</v>
      </c>
      <c r="E307" s="85" t="s">
        <v>467</v>
      </c>
      <c r="F307" s="81">
        <f>F308</f>
        <v>385789</v>
      </c>
      <c r="G307" s="82"/>
    </row>
    <row r="308" spans="2:8" s="76" customFormat="1" ht="15.75">
      <c r="B308" s="95" t="s">
        <v>468</v>
      </c>
      <c r="C308" s="144" t="s">
        <v>423</v>
      </c>
      <c r="D308" s="205" t="s">
        <v>469</v>
      </c>
      <c r="E308" s="206" t="s">
        <v>470</v>
      </c>
      <c r="F308" s="279">
        <f>300000+85789</f>
        <v>385789</v>
      </c>
      <c r="G308" s="82"/>
      <c r="H308" s="76">
        <v>85789</v>
      </c>
    </row>
    <row r="309" spans="2:7" s="76" customFormat="1" ht="15.75">
      <c r="B309" s="83"/>
      <c r="C309" s="84"/>
      <c r="D309" s="79">
        <v>75410</v>
      </c>
      <c r="E309" s="85" t="s">
        <v>471</v>
      </c>
      <c r="F309" s="81">
        <f>F310</f>
        <v>300000</v>
      </c>
      <c r="G309" s="82"/>
    </row>
    <row r="310" spans="2:7" s="76" customFormat="1" ht="15.75">
      <c r="B310" s="95" t="s">
        <v>468</v>
      </c>
      <c r="C310" s="144" t="s">
        <v>423</v>
      </c>
      <c r="D310" s="205" t="s">
        <v>472</v>
      </c>
      <c r="E310" s="206" t="s">
        <v>473</v>
      </c>
      <c r="F310" s="279">
        <v>300000</v>
      </c>
      <c r="G310" s="82"/>
    </row>
    <row r="311" spans="2:7" s="40" customFormat="1" ht="15" customHeight="1" hidden="1">
      <c r="B311" s="58"/>
      <c r="C311" s="59"/>
      <c r="D311" s="67">
        <v>75411</v>
      </c>
      <c r="E311" s="69" t="s">
        <v>474</v>
      </c>
      <c r="F311" s="68">
        <f>F313+F312</f>
        <v>0</v>
      </c>
      <c r="G311" s="46"/>
    </row>
    <row r="312" spans="2:7" s="40" customFormat="1" ht="14.25" customHeight="1" hidden="1">
      <c r="B312" s="71" t="s">
        <v>104</v>
      </c>
      <c r="C312" s="188" t="s">
        <v>28</v>
      </c>
      <c r="D312" s="280" t="s">
        <v>475</v>
      </c>
      <c r="E312" s="281" t="s">
        <v>476</v>
      </c>
      <c r="F312" s="75"/>
      <c r="G312" s="46"/>
    </row>
    <row r="313" spans="2:7" s="40" customFormat="1" ht="25.5" customHeight="1" hidden="1">
      <c r="B313" s="71" t="s">
        <v>27</v>
      </c>
      <c r="C313" s="72" t="s">
        <v>28</v>
      </c>
      <c r="D313" s="73" t="s">
        <v>477</v>
      </c>
      <c r="E313" s="74" t="s">
        <v>207</v>
      </c>
      <c r="F313" s="75"/>
      <c r="G313" s="46"/>
    </row>
    <row r="314" spans="2:7" s="76" customFormat="1" ht="15.75">
      <c r="B314" s="83"/>
      <c r="C314" s="84"/>
      <c r="D314" s="79">
        <v>75414</v>
      </c>
      <c r="E314" s="85" t="s">
        <v>208</v>
      </c>
      <c r="F314" s="81">
        <f>F315</f>
        <v>650000</v>
      </c>
      <c r="G314" s="82"/>
    </row>
    <row r="315" spans="2:7" s="76" customFormat="1" ht="21" customHeight="1">
      <c r="B315" s="95" t="s">
        <v>27</v>
      </c>
      <c r="C315" s="96" t="s">
        <v>28</v>
      </c>
      <c r="D315" s="205" t="s">
        <v>209</v>
      </c>
      <c r="E315" s="282" t="s">
        <v>210</v>
      </c>
      <c r="F315" s="99">
        <v>650000</v>
      </c>
      <c r="G315" s="82"/>
    </row>
    <row r="316" spans="2:7" s="76" customFormat="1" ht="15.75" customHeight="1">
      <c r="B316" s="77"/>
      <c r="C316" s="78"/>
      <c r="D316" s="79">
        <v>801</v>
      </c>
      <c r="E316" s="80" t="s">
        <v>258</v>
      </c>
      <c r="F316" s="81">
        <f>F317+F320+F323</f>
        <v>5895000</v>
      </c>
      <c r="G316" s="82"/>
    </row>
    <row r="317" spans="2:7" s="40" customFormat="1" ht="15.75" hidden="1">
      <c r="B317" s="58"/>
      <c r="C317" s="59"/>
      <c r="D317" s="67">
        <v>80102</v>
      </c>
      <c r="E317" s="69" t="s">
        <v>211</v>
      </c>
      <c r="F317" s="68">
        <f>F318+F319</f>
        <v>0</v>
      </c>
      <c r="G317" s="46"/>
    </row>
    <row r="318" spans="2:7" s="180" customFormat="1" ht="15.75" hidden="1">
      <c r="B318" s="283" t="s">
        <v>27</v>
      </c>
      <c r="C318" s="284" t="s">
        <v>117</v>
      </c>
      <c r="D318" s="280" t="s">
        <v>212</v>
      </c>
      <c r="E318" s="281" t="s">
        <v>213</v>
      </c>
      <c r="F318" s="285"/>
      <c r="G318" s="46"/>
    </row>
    <row r="319" spans="2:7" s="40" customFormat="1" ht="15.75" hidden="1">
      <c r="B319" s="71" t="s">
        <v>27</v>
      </c>
      <c r="C319" s="72" t="s">
        <v>117</v>
      </c>
      <c r="D319" s="164" t="s">
        <v>214</v>
      </c>
      <c r="E319" s="165" t="s">
        <v>215</v>
      </c>
      <c r="F319" s="166"/>
      <c r="G319" s="46"/>
    </row>
    <row r="320" spans="2:7" s="76" customFormat="1" ht="15.75">
      <c r="B320" s="83"/>
      <c r="C320" s="84"/>
      <c r="D320" s="152">
        <v>80120</v>
      </c>
      <c r="E320" s="155" t="s">
        <v>216</v>
      </c>
      <c r="F320" s="154">
        <f>SUM(F321:F322)</f>
        <v>5895000</v>
      </c>
      <c r="G320" s="82"/>
    </row>
    <row r="321" spans="2:7" s="76" customFormat="1" ht="14.25" customHeight="1">
      <c r="B321" s="95" t="s">
        <v>27</v>
      </c>
      <c r="C321" s="96" t="s">
        <v>28</v>
      </c>
      <c r="D321" s="175" t="s">
        <v>217</v>
      </c>
      <c r="E321" s="168" t="s">
        <v>218</v>
      </c>
      <c r="F321" s="99">
        <v>95000</v>
      </c>
      <c r="G321" s="82"/>
    </row>
    <row r="322" spans="2:7" s="76" customFormat="1" ht="22.5">
      <c r="B322" s="95" t="s">
        <v>27</v>
      </c>
      <c r="C322" s="96" t="s">
        <v>28</v>
      </c>
      <c r="D322" s="97" t="s">
        <v>219</v>
      </c>
      <c r="E322" s="100" t="s">
        <v>220</v>
      </c>
      <c r="F322" s="99">
        <v>5800000</v>
      </c>
      <c r="G322" s="82"/>
    </row>
    <row r="323" spans="2:7" s="40" customFormat="1" ht="15.75" hidden="1">
      <c r="B323" s="58"/>
      <c r="C323" s="59"/>
      <c r="D323" s="67">
        <v>80130</v>
      </c>
      <c r="E323" s="69" t="s">
        <v>221</v>
      </c>
      <c r="F323" s="68">
        <f>F324+F325+F326</f>
        <v>0</v>
      </c>
      <c r="G323" s="46"/>
    </row>
    <row r="324" spans="2:7" s="40" customFormat="1" ht="14.25" customHeight="1" hidden="1">
      <c r="B324" s="71" t="s">
        <v>27</v>
      </c>
      <c r="C324" s="72" t="s">
        <v>28</v>
      </c>
      <c r="D324" s="73" t="s">
        <v>222</v>
      </c>
      <c r="E324" s="74" t="s">
        <v>223</v>
      </c>
      <c r="F324" s="75"/>
      <c r="G324" s="46"/>
    </row>
    <row r="325" spans="2:7" s="40" customFormat="1" ht="14.25" customHeight="1" hidden="1">
      <c r="B325" s="71" t="s">
        <v>104</v>
      </c>
      <c r="C325" s="188"/>
      <c r="D325" s="73" t="s">
        <v>224</v>
      </c>
      <c r="E325" s="74" t="s">
        <v>478</v>
      </c>
      <c r="F325" s="75"/>
      <c r="G325" s="46"/>
    </row>
    <row r="326" spans="2:7" s="40" customFormat="1" ht="15.75" hidden="1">
      <c r="B326" s="71" t="s">
        <v>27</v>
      </c>
      <c r="C326" s="72" t="s">
        <v>117</v>
      </c>
      <c r="D326" s="164" t="s">
        <v>479</v>
      </c>
      <c r="E326" s="165" t="s">
        <v>480</v>
      </c>
      <c r="F326" s="166"/>
      <c r="G326" s="46"/>
    </row>
    <row r="327" spans="2:7" s="76" customFormat="1" ht="14.25" customHeight="1">
      <c r="B327" s="77"/>
      <c r="C327" s="78"/>
      <c r="D327" s="79">
        <v>851</v>
      </c>
      <c r="E327" s="80" t="s">
        <v>553</v>
      </c>
      <c r="F327" s="81">
        <f>F328</f>
        <v>3346036</v>
      </c>
      <c r="G327" s="82"/>
    </row>
    <row r="328" spans="2:7" s="76" customFormat="1" ht="14.25" customHeight="1">
      <c r="B328" s="83"/>
      <c r="C328" s="84"/>
      <c r="D328" s="79">
        <v>85117</v>
      </c>
      <c r="E328" s="85" t="s">
        <v>481</v>
      </c>
      <c r="F328" s="81">
        <f>F329+F330+F331+F332</f>
        <v>3346036</v>
      </c>
      <c r="G328" s="82"/>
    </row>
    <row r="329" spans="2:8" s="109" customFormat="1" ht="17.25" customHeight="1">
      <c r="B329" s="286" t="s">
        <v>555</v>
      </c>
      <c r="C329" s="287" t="s">
        <v>351</v>
      </c>
      <c r="D329" s="175" t="s">
        <v>482</v>
      </c>
      <c r="E329" s="187" t="s">
        <v>483</v>
      </c>
      <c r="F329" s="169">
        <v>150000</v>
      </c>
      <c r="G329" s="82"/>
      <c r="H329" s="94"/>
    </row>
    <row r="330" spans="2:8" s="180" customFormat="1" ht="28.5" customHeight="1">
      <c r="B330" s="288" t="s">
        <v>555</v>
      </c>
      <c r="C330" s="289" t="s">
        <v>117</v>
      </c>
      <c r="D330" s="97" t="s">
        <v>484</v>
      </c>
      <c r="E330" s="98" t="s">
        <v>485</v>
      </c>
      <c r="F330" s="99">
        <v>200000</v>
      </c>
      <c r="G330" s="46"/>
      <c r="H330" s="70"/>
    </row>
    <row r="331" spans="2:8" s="109" customFormat="1" ht="32.25" customHeight="1">
      <c r="B331" s="208" t="s">
        <v>555</v>
      </c>
      <c r="C331" s="209" t="s">
        <v>28</v>
      </c>
      <c r="D331" s="97" t="s">
        <v>486</v>
      </c>
      <c r="E331" s="100" t="s">
        <v>487</v>
      </c>
      <c r="F331" s="99">
        <v>2966036</v>
      </c>
      <c r="G331" s="82"/>
      <c r="H331" s="94"/>
    </row>
    <row r="332" spans="2:8" s="109" customFormat="1" ht="20.25" customHeight="1">
      <c r="B332" s="208" t="s">
        <v>555</v>
      </c>
      <c r="C332" s="209" t="s">
        <v>205</v>
      </c>
      <c r="D332" s="147" t="s">
        <v>488</v>
      </c>
      <c r="E332" s="290" t="s">
        <v>489</v>
      </c>
      <c r="F332" s="149">
        <v>30000</v>
      </c>
      <c r="G332" s="82"/>
      <c r="H332" s="94">
        <v>30000</v>
      </c>
    </row>
    <row r="333" spans="2:7" s="76" customFormat="1" ht="15.75" customHeight="1">
      <c r="B333" s="150"/>
      <c r="C333" s="151"/>
      <c r="D333" s="152">
        <v>852</v>
      </c>
      <c r="E333" s="153" t="s">
        <v>588</v>
      </c>
      <c r="F333" s="154">
        <f>F334+F337+F341</f>
        <v>10596500</v>
      </c>
      <c r="G333" s="82"/>
    </row>
    <row r="334" spans="2:7" s="76" customFormat="1" ht="15.75">
      <c r="B334" s="83"/>
      <c r="C334" s="84"/>
      <c r="D334" s="79">
        <v>85201</v>
      </c>
      <c r="E334" s="85" t="s">
        <v>174</v>
      </c>
      <c r="F334" s="81">
        <f>F335+F336</f>
        <v>7250000</v>
      </c>
      <c r="G334" s="82"/>
    </row>
    <row r="335" spans="2:7" s="76" customFormat="1" ht="15.75">
      <c r="B335" s="95" t="s">
        <v>27</v>
      </c>
      <c r="C335" s="96" t="s">
        <v>28</v>
      </c>
      <c r="D335" s="97" t="s">
        <v>175</v>
      </c>
      <c r="E335" s="98" t="s">
        <v>176</v>
      </c>
      <c r="F335" s="99">
        <v>250000</v>
      </c>
      <c r="G335" s="82"/>
    </row>
    <row r="336" spans="2:9" s="109" customFormat="1" ht="15.75">
      <c r="B336" s="208" t="s">
        <v>27</v>
      </c>
      <c r="C336" s="209" t="s">
        <v>28</v>
      </c>
      <c r="D336" s="147" t="s">
        <v>177</v>
      </c>
      <c r="E336" s="148" t="s">
        <v>178</v>
      </c>
      <c r="F336" s="149">
        <v>7000000</v>
      </c>
      <c r="G336" s="82"/>
      <c r="H336" s="160">
        <f>SUM(H28:H335)</f>
        <v>8117972</v>
      </c>
      <c r="I336" s="109" t="s">
        <v>15</v>
      </c>
    </row>
    <row r="337" spans="2:7" s="76" customFormat="1" ht="18.75" customHeight="1">
      <c r="B337" s="208"/>
      <c r="C337" s="209"/>
      <c r="D337" s="152">
        <v>85202</v>
      </c>
      <c r="E337" s="155" t="s">
        <v>179</v>
      </c>
      <c r="F337" s="154">
        <f>F338+F339+F340</f>
        <v>3346500</v>
      </c>
      <c r="G337" s="82"/>
    </row>
    <row r="338" spans="2:7" s="76" customFormat="1" ht="21" customHeight="1">
      <c r="B338" s="208" t="s">
        <v>27</v>
      </c>
      <c r="C338" s="289" t="s">
        <v>117</v>
      </c>
      <c r="D338" s="175" t="s">
        <v>180</v>
      </c>
      <c r="E338" s="291" t="s">
        <v>181</v>
      </c>
      <c r="F338" s="169">
        <v>800000</v>
      </c>
      <c r="G338" s="82"/>
    </row>
    <row r="339" spans="2:7" s="76" customFormat="1" ht="21" customHeight="1">
      <c r="B339" s="208" t="s">
        <v>27</v>
      </c>
      <c r="C339" s="209" t="s">
        <v>117</v>
      </c>
      <c r="D339" s="97" t="s">
        <v>182</v>
      </c>
      <c r="E339" s="292" t="s">
        <v>183</v>
      </c>
      <c r="F339" s="99">
        <v>138500</v>
      </c>
      <c r="G339" s="82"/>
    </row>
    <row r="340" spans="2:7" s="293" customFormat="1" ht="15.75">
      <c r="B340" s="71"/>
      <c r="C340" s="188"/>
      <c r="D340" s="147" t="s">
        <v>184</v>
      </c>
      <c r="E340" s="148" t="s">
        <v>185</v>
      </c>
      <c r="F340" s="149">
        <v>2408000</v>
      </c>
      <c r="G340" s="46"/>
    </row>
    <row r="341" spans="2:7" s="40" customFormat="1" ht="20.25" customHeight="1" hidden="1">
      <c r="B341" s="127"/>
      <c r="C341" s="128"/>
      <c r="D341" s="67">
        <v>85220</v>
      </c>
      <c r="E341" s="69" t="s">
        <v>186</v>
      </c>
      <c r="F341" s="68">
        <f>F342</f>
        <v>0</v>
      </c>
      <c r="G341" s="46"/>
    </row>
    <row r="342" spans="2:7" s="40" customFormat="1" ht="21" customHeight="1" hidden="1">
      <c r="B342" s="127" t="s">
        <v>27</v>
      </c>
      <c r="C342" s="278" t="s">
        <v>117</v>
      </c>
      <c r="D342" s="164" t="s">
        <v>187</v>
      </c>
      <c r="E342" s="239" t="s">
        <v>188</v>
      </c>
      <c r="F342" s="166"/>
      <c r="G342" s="46"/>
    </row>
    <row r="343" spans="2:7" s="294" customFormat="1" ht="15.75" customHeight="1">
      <c r="B343" s="77"/>
      <c r="C343" s="78"/>
      <c r="D343" s="79">
        <v>853</v>
      </c>
      <c r="E343" s="80" t="s">
        <v>189</v>
      </c>
      <c r="F343" s="81">
        <f>F344</f>
        <v>56284</v>
      </c>
      <c r="G343" s="82"/>
    </row>
    <row r="344" spans="2:7" s="294" customFormat="1" ht="15.75">
      <c r="B344" s="83"/>
      <c r="C344" s="84"/>
      <c r="D344" s="79">
        <v>85333</v>
      </c>
      <c r="E344" s="85" t="s">
        <v>190</v>
      </c>
      <c r="F344" s="81">
        <f>F345</f>
        <v>56284</v>
      </c>
      <c r="G344" s="82"/>
    </row>
    <row r="345" spans="2:7" s="76" customFormat="1" ht="15.75">
      <c r="B345" s="286" t="s">
        <v>191</v>
      </c>
      <c r="C345" s="295"/>
      <c r="D345" s="205" t="s">
        <v>192</v>
      </c>
      <c r="E345" s="206" t="s">
        <v>490</v>
      </c>
      <c r="F345" s="279">
        <v>56284</v>
      </c>
      <c r="G345" s="82"/>
    </row>
    <row r="346" spans="2:7" s="40" customFormat="1" ht="15.75" customHeight="1" hidden="1">
      <c r="B346" s="65"/>
      <c r="C346" s="66"/>
      <c r="D346" s="67">
        <v>854</v>
      </c>
      <c r="E346" s="61" t="s">
        <v>491</v>
      </c>
      <c r="F346" s="68">
        <f>F347</f>
        <v>0</v>
      </c>
      <c r="G346" s="46"/>
    </row>
    <row r="347" spans="2:7" s="40" customFormat="1" ht="15.75" hidden="1">
      <c r="B347" s="58"/>
      <c r="C347" s="59"/>
      <c r="D347" s="67">
        <v>85407</v>
      </c>
      <c r="E347" s="69" t="s">
        <v>492</v>
      </c>
      <c r="F347" s="68">
        <f>F348</f>
        <v>0</v>
      </c>
      <c r="G347" s="46"/>
    </row>
    <row r="348" spans="2:7" s="40" customFormat="1" ht="15.75" hidden="1">
      <c r="B348" s="296" t="s">
        <v>104</v>
      </c>
      <c r="C348" s="217" t="s">
        <v>117</v>
      </c>
      <c r="D348" s="182" t="s">
        <v>493</v>
      </c>
      <c r="E348" s="297" t="s">
        <v>494</v>
      </c>
      <c r="F348" s="219"/>
      <c r="G348" s="46"/>
    </row>
    <row r="349" spans="2:7" s="76" customFormat="1" ht="15.75" customHeight="1">
      <c r="B349" s="77"/>
      <c r="C349" s="151"/>
      <c r="D349" s="152">
        <v>921</v>
      </c>
      <c r="E349" s="153" t="s">
        <v>72</v>
      </c>
      <c r="F349" s="81">
        <f>F350+F358+F360</f>
        <v>1470000</v>
      </c>
      <c r="G349" s="82"/>
    </row>
    <row r="350" spans="2:7" s="76" customFormat="1" ht="15.75">
      <c r="B350" s="83"/>
      <c r="C350" s="84"/>
      <c r="D350" s="79">
        <v>92106</v>
      </c>
      <c r="E350" s="85" t="s">
        <v>495</v>
      </c>
      <c r="F350" s="81">
        <f>F351+F352+F353+F354</f>
        <v>1370000</v>
      </c>
      <c r="G350" s="82"/>
    </row>
    <row r="351" spans="2:7" s="76" customFormat="1" ht="15.75">
      <c r="B351" s="95" t="s">
        <v>555</v>
      </c>
      <c r="C351" s="144" t="s">
        <v>28</v>
      </c>
      <c r="D351" s="97" t="s">
        <v>496</v>
      </c>
      <c r="E351" s="98" t="s">
        <v>497</v>
      </c>
      <c r="F351" s="99">
        <v>200000</v>
      </c>
      <c r="G351" s="82"/>
    </row>
    <row r="352" spans="2:7" s="109" customFormat="1" ht="15.75">
      <c r="B352" s="298" t="s">
        <v>555</v>
      </c>
      <c r="C352" s="299" t="s">
        <v>28</v>
      </c>
      <c r="D352" s="97" t="s">
        <v>498</v>
      </c>
      <c r="E352" s="98" t="s">
        <v>499</v>
      </c>
      <c r="F352" s="99">
        <v>30000</v>
      </c>
      <c r="G352" s="82"/>
    </row>
    <row r="353" spans="2:7" s="76" customFormat="1" ht="15.75">
      <c r="B353" s="95" t="s">
        <v>555</v>
      </c>
      <c r="C353" s="144" t="s">
        <v>28</v>
      </c>
      <c r="D353" s="97" t="s">
        <v>500</v>
      </c>
      <c r="E353" s="98" t="s">
        <v>501</v>
      </c>
      <c r="F353" s="99">
        <v>290000</v>
      </c>
      <c r="G353" s="82"/>
    </row>
    <row r="354" spans="2:7" s="76" customFormat="1" ht="15.75">
      <c r="B354" s="95"/>
      <c r="C354" s="144"/>
      <c r="D354" s="97"/>
      <c r="E354" s="89" t="s">
        <v>502</v>
      </c>
      <c r="F354" s="112">
        <f>F355+F356+F357</f>
        <v>850000</v>
      </c>
      <c r="G354" s="82"/>
    </row>
    <row r="355" spans="2:7" s="76" customFormat="1" ht="15.75">
      <c r="B355" s="95" t="s">
        <v>555</v>
      </c>
      <c r="C355" s="144" t="s">
        <v>28</v>
      </c>
      <c r="D355" s="97" t="s">
        <v>503</v>
      </c>
      <c r="E355" s="98" t="s">
        <v>504</v>
      </c>
      <c r="F355" s="99">
        <v>250000</v>
      </c>
      <c r="G355" s="82"/>
    </row>
    <row r="356" spans="2:7" s="76" customFormat="1" ht="15.75">
      <c r="B356" s="95" t="s">
        <v>555</v>
      </c>
      <c r="C356" s="144" t="s">
        <v>28</v>
      </c>
      <c r="D356" s="97" t="s">
        <v>505</v>
      </c>
      <c r="E356" s="98" t="s">
        <v>506</v>
      </c>
      <c r="F356" s="99">
        <v>300000</v>
      </c>
      <c r="G356" s="82"/>
    </row>
    <row r="357" spans="2:7" s="76" customFormat="1" ht="15.75">
      <c r="B357" s="95" t="s">
        <v>555</v>
      </c>
      <c r="C357" s="144" t="s">
        <v>519</v>
      </c>
      <c r="D357" s="97" t="s">
        <v>507</v>
      </c>
      <c r="E357" s="98" t="s">
        <v>508</v>
      </c>
      <c r="F357" s="99">
        <v>300000</v>
      </c>
      <c r="G357" s="82"/>
    </row>
    <row r="358" spans="2:7" s="76" customFormat="1" ht="15.75">
      <c r="B358" s="83"/>
      <c r="C358" s="173"/>
      <c r="D358" s="79">
        <v>92113</v>
      </c>
      <c r="E358" s="85" t="s">
        <v>599</v>
      </c>
      <c r="F358" s="81">
        <f>F359</f>
        <v>100000</v>
      </c>
      <c r="G358" s="82"/>
    </row>
    <row r="359" spans="2:7" s="138" customFormat="1" ht="15.75">
      <c r="B359" s="95" t="s">
        <v>555</v>
      </c>
      <c r="C359" s="144"/>
      <c r="D359" s="147" t="s">
        <v>509</v>
      </c>
      <c r="E359" s="148" t="s">
        <v>510</v>
      </c>
      <c r="F359" s="99">
        <v>100000</v>
      </c>
      <c r="G359" s="82"/>
    </row>
    <row r="360" spans="2:7" s="237" customFormat="1" ht="12" customHeight="1" hidden="1">
      <c r="B360" s="58"/>
      <c r="C360" s="216"/>
      <c r="D360" s="221">
        <v>92114</v>
      </c>
      <c r="E360" s="300" t="s">
        <v>79</v>
      </c>
      <c r="F360" s="68">
        <f>F361</f>
        <v>0</v>
      </c>
      <c r="G360" s="46"/>
    </row>
    <row r="361" spans="2:7" s="237" customFormat="1" ht="12" customHeight="1" hidden="1">
      <c r="B361" s="30"/>
      <c r="C361" s="132"/>
      <c r="D361" s="73"/>
      <c r="E361" s="129" t="s">
        <v>511</v>
      </c>
      <c r="F361" s="130">
        <f>F362</f>
        <v>0</v>
      </c>
      <c r="G361" s="46"/>
    </row>
    <row r="362" spans="2:7" s="237" customFormat="1" ht="33" customHeight="1" hidden="1">
      <c r="B362" s="71" t="s">
        <v>555</v>
      </c>
      <c r="C362" s="188"/>
      <c r="D362" s="73" t="s">
        <v>512</v>
      </c>
      <c r="E362" s="74" t="s">
        <v>513</v>
      </c>
      <c r="F362" s="75"/>
      <c r="G362" s="46"/>
    </row>
    <row r="363" spans="2:7" s="294" customFormat="1" ht="39" customHeight="1">
      <c r="B363" s="301"/>
      <c r="C363" s="302"/>
      <c r="D363" s="464" t="s">
        <v>514</v>
      </c>
      <c r="E363" s="464"/>
      <c r="F363" s="303">
        <f>+F364+F370</f>
        <v>200000</v>
      </c>
      <c r="G363" s="82"/>
    </row>
    <row r="364" spans="2:7" s="76" customFormat="1" ht="15.75" customHeight="1">
      <c r="B364" s="77"/>
      <c r="C364" s="151"/>
      <c r="D364" s="152">
        <v>754</v>
      </c>
      <c r="E364" s="80" t="s">
        <v>318</v>
      </c>
      <c r="F364" s="81">
        <f>F365+F368</f>
        <v>200000</v>
      </c>
      <c r="G364" s="82"/>
    </row>
    <row r="365" spans="2:7" s="76" customFormat="1" ht="15.75">
      <c r="B365" s="83"/>
      <c r="C365" s="84"/>
      <c r="D365" s="79">
        <v>75411</v>
      </c>
      <c r="E365" s="85" t="s">
        <v>474</v>
      </c>
      <c r="F365" s="81">
        <f>F366</f>
        <v>200000</v>
      </c>
      <c r="G365" s="82"/>
    </row>
    <row r="366" spans="2:7" s="304" customFormat="1" ht="18" customHeight="1">
      <c r="B366" s="95" t="s">
        <v>27</v>
      </c>
      <c r="C366" s="96" t="s">
        <v>28</v>
      </c>
      <c r="D366" s="97" t="s">
        <v>515</v>
      </c>
      <c r="E366" s="305" t="s">
        <v>516</v>
      </c>
      <c r="F366" s="99">
        <v>200000</v>
      </c>
      <c r="G366" s="82"/>
    </row>
    <row r="367" spans="2:7" s="306" customFormat="1" ht="18" customHeight="1" hidden="1">
      <c r="B367" s="71" t="s">
        <v>104</v>
      </c>
      <c r="C367" s="72" t="s">
        <v>117</v>
      </c>
      <c r="D367" s="164" t="s">
        <v>517</v>
      </c>
      <c r="E367" s="307" t="s">
        <v>255</v>
      </c>
      <c r="F367" s="75"/>
      <c r="G367" s="46"/>
    </row>
    <row r="368" spans="2:7" s="306" customFormat="1" ht="18.75" customHeight="1" hidden="1">
      <c r="B368" s="71"/>
      <c r="C368" s="72"/>
      <c r="D368" s="67">
        <v>75478</v>
      </c>
      <c r="E368" s="308" t="s">
        <v>256</v>
      </c>
      <c r="F368" s="309">
        <f>F369</f>
        <v>0</v>
      </c>
      <c r="G368" s="46"/>
    </row>
    <row r="369" spans="2:7" s="306" customFormat="1" ht="18" customHeight="1" hidden="1">
      <c r="B369" s="71" t="s">
        <v>104</v>
      </c>
      <c r="C369" s="72" t="s">
        <v>117</v>
      </c>
      <c r="D369" s="182" t="s">
        <v>517</v>
      </c>
      <c r="E369" s="310" t="s">
        <v>255</v>
      </c>
      <c r="F369" s="219"/>
      <c r="G369" s="46"/>
    </row>
    <row r="370" spans="2:7" s="40" customFormat="1" ht="14.25" customHeight="1" hidden="1">
      <c r="B370" s="162"/>
      <c r="C370" s="163"/>
      <c r="D370" s="311">
        <v>852</v>
      </c>
      <c r="E370" s="312" t="s">
        <v>588</v>
      </c>
      <c r="F370" s="313">
        <f>F371</f>
        <v>0</v>
      </c>
      <c r="G370" s="46"/>
    </row>
    <row r="371" spans="2:7" s="40" customFormat="1" ht="14.25" customHeight="1" hidden="1">
      <c r="B371" s="58"/>
      <c r="C371" s="59"/>
      <c r="D371" s="314">
        <v>85203</v>
      </c>
      <c r="E371" s="315" t="s">
        <v>589</v>
      </c>
      <c r="F371" s="316">
        <f>F372</f>
        <v>0</v>
      </c>
      <c r="G371" s="46"/>
    </row>
    <row r="372" spans="2:7" s="306" customFormat="1" ht="18" customHeight="1" hidden="1">
      <c r="B372" s="256" t="s">
        <v>320</v>
      </c>
      <c r="C372" s="317" t="s">
        <v>28</v>
      </c>
      <c r="D372" s="318" t="s">
        <v>172</v>
      </c>
      <c r="E372" s="319" t="s">
        <v>173</v>
      </c>
      <c r="F372" s="320"/>
      <c r="G372" s="46"/>
    </row>
    <row r="373" spans="2:7" s="306" customFormat="1" ht="49.5" customHeight="1">
      <c r="B373" s="321"/>
      <c r="C373" s="1"/>
      <c r="D373" s="322" t="s">
        <v>228</v>
      </c>
      <c r="E373" s="322"/>
      <c r="F373" s="322"/>
      <c r="G373" s="46"/>
    </row>
    <row r="374" spans="2:6" s="306" customFormat="1" ht="17.25" customHeight="1">
      <c r="B374" s="323"/>
      <c r="C374" s="324"/>
      <c r="D374" s="322"/>
      <c r="E374" s="325"/>
      <c r="F374" s="326"/>
    </row>
    <row r="375" spans="2:6" s="306" customFormat="1" ht="18" customHeight="1">
      <c r="B375" s="327"/>
      <c r="C375" s="324"/>
      <c r="D375" s="1"/>
      <c r="E375" s="1"/>
      <c r="F375" s="328"/>
    </row>
    <row r="376" ht="14.25">
      <c r="C376" s="329" t="s">
        <v>229</v>
      </c>
    </row>
    <row r="377" spans="2:6" s="330" customFormat="1" ht="15">
      <c r="B377" s="331" t="s">
        <v>27</v>
      </c>
      <c r="C377" s="332"/>
      <c r="E377" s="333" t="s">
        <v>230</v>
      </c>
      <c r="F377" s="334" t="e">
        <f>SUM(F378:F381)</f>
        <v>#REF!</v>
      </c>
    </row>
    <row r="378" spans="2:6" ht="14.25">
      <c r="B378" s="2" t="s">
        <v>27</v>
      </c>
      <c r="E378" s="335" t="s">
        <v>231</v>
      </c>
      <c r="F378" s="336" t="e">
        <f>SUM(F27:F27,F28:F38,F37,F41:F46,F47,F53:F54,F59:F60,#REF!,#REF!,F68,#REF!,F70,#REF!,F94,F98,F101:F102,F106,F111,F110,F133:F134,F136,F139:F139,F139:F139,#REF!,#REF!,#REF!,#REF!,#REF!,#REF!,#REF!)</f>
        <v>#REF!</v>
      </c>
    </row>
    <row r="379" spans="2:6" ht="14.25">
      <c r="B379" s="2" t="s">
        <v>27</v>
      </c>
      <c r="E379" s="335" t="s">
        <v>232</v>
      </c>
      <c r="F379" s="336" t="e">
        <f>SUM(F144,F145,#REF!,F161:F161,#REF!,F166:F166,F179:F180,#REF!,F185,#REF!,F191:F192,#REF!,#REF!,#REF!,#REF!,#REF!,#REF!,#REF!,#REF!,F198,F202,F205:F206,#REF!,#REF!,F213,F233,F236,F240:F242,F245,F249)</f>
        <v>#REF!</v>
      </c>
    </row>
    <row r="380" spans="2:6" ht="14.25">
      <c r="B380" s="2" t="s">
        <v>27</v>
      </c>
      <c r="E380" s="335" t="s">
        <v>233</v>
      </c>
      <c r="F380" s="336" t="e">
        <f>SUM(F251:F253,F254:F256,F258:F258,F259:F262,#REF!,F279:F281,F285,F296:F298,F297:F300,F305:F305,F301,#REF!,F293,F302:F304,F313,F315,F318:F319,F321,F322:F322,#REF!,F324,F326,F335:F336,F338,F366:F366)</f>
        <v>#REF!</v>
      </c>
    </row>
    <row r="381" spans="2:6" ht="14.25">
      <c r="B381" s="2" t="s">
        <v>27</v>
      </c>
      <c r="E381" s="335" t="s">
        <v>234</v>
      </c>
      <c r="F381" s="336" t="e">
        <f>F170+#REF!+#REF!+F171+F339+F114+F342+F234</f>
        <v>#REF!</v>
      </c>
    </row>
    <row r="382" spans="2:6" ht="15" customHeight="1">
      <c r="B382" s="2" t="s">
        <v>104</v>
      </c>
      <c r="E382" s="335" t="s">
        <v>235</v>
      </c>
      <c r="F382" s="336" t="e">
        <f>SUBTOTAL(9,F30,F83,F89,F93:F93,F107:F108,F112,F119,#REF!,F121:F121,F135,#REF!,F141,#REF!,#REF!,#REF!,F148,#REF!,F165,F169,#REF!,F173,F241,F244,F299,F312,#REF!,#REF!)</f>
        <v>#REF!</v>
      </c>
    </row>
    <row r="383" spans="2:6" ht="15" customHeight="1">
      <c r="B383" s="2" t="s">
        <v>236</v>
      </c>
      <c r="E383" s="335" t="s">
        <v>237</v>
      </c>
      <c r="F383" s="336" t="e">
        <f>#REF!+F348+F369+F367</f>
        <v>#REF!</v>
      </c>
    </row>
    <row r="384" spans="2:6" ht="15" customHeight="1">
      <c r="B384" s="2" t="s">
        <v>238</v>
      </c>
      <c r="E384" s="333" t="s">
        <v>239</v>
      </c>
      <c r="F384" s="337" t="e">
        <f>F382+F383</f>
        <v>#REF!</v>
      </c>
    </row>
    <row r="385" spans="2:6" ht="14.25">
      <c r="B385" s="2" t="s">
        <v>343</v>
      </c>
      <c r="E385" s="335" t="s">
        <v>240</v>
      </c>
      <c r="F385" s="336" t="e">
        <f>F190+#REF!+#REF!</f>
        <v>#REF!</v>
      </c>
    </row>
    <row r="386" spans="2:6" ht="14.25">
      <c r="B386" s="2" t="s">
        <v>555</v>
      </c>
      <c r="E386" s="335" t="s">
        <v>241</v>
      </c>
      <c r="F386" s="336" t="e">
        <f>SUM(F117,F151:F154,F156:F156,F158,#REF!,F194:F196,F216,F218,F221:F222,F224,F226:F226,F229:F230,F231,F269:F273,F329,F345,F351,F352,F355,F353,#REF!,F359,F362,#REF!,F331,#REF!,F372)</f>
        <v>#REF!</v>
      </c>
    </row>
    <row r="387" spans="2:6" ht="14.25">
      <c r="B387" s="2" t="s">
        <v>242</v>
      </c>
      <c r="E387" s="335" t="s">
        <v>243</v>
      </c>
      <c r="F387" s="336" t="e">
        <f>SUM(#REF!,#REF!,#REF!,F124:F129,#REF!,F308,F310,#REF!)</f>
        <v>#REF!</v>
      </c>
    </row>
    <row r="388" spans="2:7" s="330" customFormat="1" ht="15">
      <c r="B388" s="331"/>
      <c r="C388" s="332"/>
      <c r="E388" s="333"/>
      <c r="F388" s="334" t="e">
        <f>F377+F384+F385+F386+F387</f>
        <v>#REF!</v>
      </c>
      <c r="G388" s="334"/>
    </row>
    <row r="389" ht="14.25" customHeight="1">
      <c r="F389" s="8" t="e">
        <f>F388=F17</f>
        <v>#REF!</v>
      </c>
    </row>
    <row r="390" spans="5:6" ht="14.25">
      <c r="E390" s="335"/>
      <c r="F390" s="336" t="e">
        <f>F17-F388</f>
        <v>#REF!</v>
      </c>
    </row>
    <row r="391" spans="2:6" s="338" customFormat="1" ht="15.75">
      <c r="B391" s="339"/>
      <c r="C391" s="339"/>
      <c r="E391" s="340" t="s">
        <v>20</v>
      </c>
      <c r="F391" s="341"/>
    </row>
    <row r="392" spans="2:6" ht="14.25">
      <c r="B392" s="2" t="s">
        <v>27</v>
      </c>
      <c r="C392" s="3" t="s">
        <v>117</v>
      </c>
      <c r="E392" s="335" t="s">
        <v>244</v>
      </c>
      <c r="F392" s="336" t="e">
        <f>SUBTOTAL(9,F29:F31,F29:F36,F47:F54,F58:F60,#REF!,F84,#REF!,F94,F98,#REF!,#REF!,#REF!,#REF!,#REF!,#REF!,#REF!,#REF!,#REF!,#REF!,#REF!,#REF!,F147,F161:F161,#REF!,#REF!,#REF!,F179,F177:F180,F182)</f>
        <v>#REF!</v>
      </c>
    </row>
    <row r="393" spans="2:6" ht="14.25">
      <c r="B393" s="2" t="s">
        <v>27</v>
      </c>
      <c r="C393" s="3" t="s">
        <v>117</v>
      </c>
      <c r="E393" s="335" t="s">
        <v>245</v>
      </c>
      <c r="F393" s="336" t="e">
        <f>SUBTOTAL(9,F187,F191,#REF!,#REF!,#REF!,#REF!,#REF!,#REF!,#REF!,F206,#REF!,#REF!,F236,F242,F249,F251,F253,F254:F259,#REF!,F279,F281,F303,F318:F319,#REF!,F326,F336,F338,#REF!)</f>
        <v>#REF!</v>
      </c>
    </row>
    <row r="394" spans="5:6" ht="14.25">
      <c r="E394" s="335" t="s">
        <v>246</v>
      </c>
      <c r="F394" s="336" t="e">
        <f>F170+F171+#REF!+F339+F114+F342+F234</f>
        <v>#REF!</v>
      </c>
    </row>
    <row r="395" spans="2:6" s="330" customFormat="1" ht="15">
      <c r="B395" s="331" t="s">
        <v>27</v>
      </c>
      <c r="C395" s="332" t="s">
        <v>117</v>
      </c>
      <c r="E395" s="333" t="s">
        <v>247</v>
      </c>
      <c r="F395" s="334" t="e">
        <f>F392+F393+F394</f>
        <v>#REF!</v>
      </c>
    </row>
    <row r="396" spans="2:6" ht="14.25">
      <c r="B396" s="2" t="s">
        <v>27</v>
      </c>
      <c r="C396" s="3" t="s">
        <v>28</v>
      </c>
      <c r="E396" s="342" t="s">
        <v>248</v>
      </c>
      <c r="F396" s="336" t="e">
        <f>SUBTOTAL(9,F23,F27:F27,F28:F32,#REF!,F37:F37,F41:F46,F57,#REF!,#REF!,F68,#REF!,F70,F85,F101:F103,F106,F111,F110,#REF!,F133:F134,F136:F138,#REF!,F139,F138:F139,#REF!,#REF!,#REF!,#REF!,#REF!,#REF!)</f>
        <v>#REF!</v>
      </c>
    </row>
    <row r="397" spans="2:6" ht="14.25">
      <c r="B397" s="2" t="s">
        <v>27</v>
      </c>
      <c r="C397" s="3" t="s">
        <v>28</v>
      </c>
      <c r="E397" s="342" t="s">
        <v>249</v>
      </c>
      <c r="F397" s="336" t="e">
        <f>SUBTOTAL(9,F144,F145,#REF!,#REF!,F166,#REF!,#REF!,#REF!,F185,#REF!,#REF!,F192,#REF!,#REF!,#REF!,#REF!,F198,F202,F205,#REF!,F212,#REF!,F213,F233,F240,F245,F252,F260:F261,F262)</f>
        <v>#REF!</v>
      </c>
    </row>
    <row r="398" spans="2:6" ht="14.25">
      <c r="B398" s="2" t="s">
        <v>27</v>
      </c>
      <c r="C398" s="3" t="s">
        <v>28</v>
      </c>
      <c r="E398" s="342" t="s">
        <v>250</v>
      </c>
      <c r="F398" s="336" t="e">
        <f>SUBTOTAL(9,#REF!,F280,F285,F296,F298:F298,F300:F300,F305,F301:F304,F313,F315,F321,F322:F322,#REF!,F324,F335,#REF!,F366:F366)</f>
        <v>#REF!</v>
      </c>
    </row>
    <row r="399" spans="2:6" s="330" customFormat="1" ht="15">
      <c r="B399" s="331" t="s">
        <v>27</v>
      </c>
      <c r="C399" s="332" t="s">
        <v>28</v>
      </c>
      <c r="E399" s="343" t="s">
        <v>251</v>
      </c>
      <c r="F399" s="334" t="e">
        <f>F396+F397+F398</f>
        <v>#REF!</v>
      </c>
    </row>
    <row r="400" spans="2:6" s="330" customFormat="1" ht="15">
      <c r="B400" s="331"/>
      <c r="C400" s="332"/>
      <c r="E400" s="333" t="s">
        <v>252</v>
      </c>
      <c r="F400" s="334" t="e">
        <f>F395+F399</f>
        <v>#REF!</v>
      </c>
    </row>
    <row r="401" ht="14.25">
      <c r="F401" s="1" t="e">
        <f>F400=F377</f>
        <v>#REF!</v>
      </c>
    </row>
    <row r="402" ht="14.25">
      <c r="F402" s="8" t="e">
        <f>F377-F400</f>
        <v>#REF!</v>
      </c>
    </row>
    <row r="403" ht="14.25">
      <c r="F403" s="8"/>
    </row>
    <row r="404" spans="2:6" s="338" customFormat="1" ht="15.75">
      <c r="B404" s="339"/>
      <c r="C404" s="339"/>
      <c r="E404" s="340" t="s">
        <v>253</v>
      </c>
      <c r="F404" s="341"/>
    </row>
    <row r="405" spans="2:6" ht="14.25">
      <c r="B405" s="2" t="s">
        <v>104</v>
      </c>
      <c r="C405" s="3" t="s">
        <v>117</v>
      </c>
      <c r="E405" s="335" t="s">
        <v>244</v>
      </c>
      <c r="F405" s="336" t="e">
        <f>#REF!+#REF!+#REF!+F348+F369+#REF!+F367</f>
        <v>#REF!</v>
      </c>
    </row>
    <row r="406" spans="2:6" ht="14.25">
      <c r="B406" s="2" t="s">
        <v>104</v>
      </c>
      <c r="C406" s="3" t="s">
        <v>117</v>
      </c>
      <c r="E406" s="335" t="s">
        <v>245</v>
      </c>
      <c r="F406" s="336"/>
    </row>
    <row r="407" spans="2:6" s="330" customFormat="1" ht="14.25">
      <c r="B407" s="2" t="s">
        <v>104</v>
      </c>
      <c r="C407" s="332" t="s">
        <v>117</v>
      </c>
      <c r="E407" s="333" t="s">
        <v>247</v>
      </c>
      <c r="F407" s="334" t="e">
        <f>F405+F406</f>
        <v>#REF!</v>
      </c>
    </row>
    <row r="408" spans="2:6" ht="14.25">
      <c r="B408" s="2" t="s">
        <v>104</v>
      </c>
      <c r="C408" s="3" t="s">
        <v>28</v>
      </c>
      <c r="E408" s="342" t="s">
        <v>248</v>
      </c>
      <c r="F408" s="336" t="e">
        <f>F30+F83+F89+F93+F92+F107+F108+F112+F119+F121+F135+#REF!+F141+F148+F165+F169+#REF!+F241+F244+F299+F312+#REF!</f>
        <v>#REF!</v>
      </c>
    </row>
    <row r="409" spans="2:6" ht="14.25">
      <c r="B409" s="2" t="s">
        <v>104</v>
      </c>
      <c r="C409" s="3" t="s">
        <v>28</v>
      </c>
      <c r="E409" s="342" t="s">
        <v>249</v>
      </c>
      <c r="F409" s="336"/>
    </row>
    <row r="410" spans="2:6" s="330" customFormat="1" ht="14.25">
      <c r="B410" s="2" t="s">
        <v>104</v>
      </c>
      <c r="C410" s="332" t="s">
        <v>28</v>
      </c>
      <c r="E410" s="343" t="s">
        <v>251</v>
      </c>
      <c r="F410" s="334" t="e">
        <f>F408+F409</f>
        <v>#REF!</v>
      </c>
    </row>
    <row r="411" spans="2:6" s="330" customFormat="1" ht="15">
      <c r="B411" s="331"/>
      <c r="C411" s="332"/>
      <c r="E411" s="333" t="s">
        <v>254</v>
      </c>
      <c r="F411" s="334" t="e">
        <f>F407+F410</f>
        <v>#REF!</v>
      </c>
    </row>
    <row r="412" ht="14.25">
      <c r="F412" s="1" t="e">
        <f>F411=F384</f>
        <v>#REF!</v>
      </c>
    </row>
    <row r="413" ht="14.25">
      <c r="F413" s="8" t="e">
        <f>F411-F384</f>
        <v>#REF!</v>
      </c>
    </row>
    <row r="415" spans="2:6" s="338" customFormat="1" ht="15.75">
      <c r="B415" s="339"/>
      <c r="C415" s="339"/>
      <c r="E415" s="340" t="s">
        <v>280</v>
      </c>
      <c r="F415" s="341"/>
    </row>
    <row r="416" spans="2:6" s="330" customFormat="1" ht="15">
      <c r="B416" s="331" t="s">
        <v>343</v>
      </c>
      <c r="C416" s="332" t="s">
        <v>117</v>
      </c>
      <c r="E416" s="333" t="s">
        <v>247</v>
      </c>
      <c r="F416" s="334" t="e">
        <f>#REF!</f>
        <v>#REF!</v>
      </c>
    </row>
    <row r="417" spans="2:6" s="330" customFormat="1" ht="15">
      <c r="B417" s="331" t="s">
        <v>343</v>
      </c>
      <c r="C417" s="332" t="s">
        <v>28</v>
      </c>
      <c r="E417" s="343" t="s">
        <v>251</v>
      </c>
      <c r="F417" s="334" t="e">
        <f>F190+#REF!</f>
        <v>#REF!</v>
      </c>
    </row>
    <row r="418" spans="2:6" s="330" customFormat="1" ht="15">
      <c r="B418" s="331"/>
      <c r="C418" s="332"/>
      <c r="E418" s="333" t="s">
        <v>281</v>
      </c>
      <c r="F418" s="334" t="e">
        <f>F416+F417</f>
        <v>#REF!</v>
      </c>
    </row>
    <row r="419" ht="14.25">
      <c r="F419" s="1" t="e">
        <f>F418=F385</f>
        <v>#REF!</v>
      </c>
    </row>
    <row r="420" ht="14.25">
      <c r="F420" s="8" t="e">
        <f>F418-F385</f>
        <v>#REF!</v>
      </c>
    </row>
    <row r="422" spans="5:6" ht="14.25">
      <c r="E422" s="333" t="s">
        <v>282</v>
      </c>
      <c r="F422" s="334" t="e">
        <f>F395+F407+F416</f>
        <v>#REF!</v>
      </c>
    </row>
    <row r="423" spans="5:6" ht="14.25">
      <c r="E423" s="333" t="s">
        <v>283</v>
      </c>
      <c r="F423" s="334" t="e">
        <f>F399+F410+F417</f>
        <v>#REF!</v>
      </c>
    </row>
    <row r="424" spans="5:6" ht="14.25">
      <c r="E424" s="333" t="s">
        <v>284</v>
      </c>
      <c r="F424" s="334" t="e">
        <f>F422+F423</f>
        <v>#REF!</v>
      </c>
    </row>
  </sheetData>
  <sheetProtection selectLockedCells="1" selectUnlockedCells="1"/>
  <mergeCells count="3">
    <mergeCell ref="F11:F15"/>
    <mergeCell ref="D282:E282"/>
    <mergeCell ref="D363:E363"/>
  </mergeCells>
  <printOptions/>
  <pageMargins left="0.42986111111111114" right="0.35" top="0.4597222222222222" bottom="0.49027777777777776" header="0.5118055555555555" footer="0.5118055555555555"/>
  <pageSetup horizontalDpi="300" verticalDpi="300" orientation="portrait" paperSize="9" scale="5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30" zoomScaleNormal="80" zoomScaleSheetLayoutView="130" zoomScalePageLayoutView="0" workbookViewId="0" topLeftCell="D1">
      <selection activeCell="L13" sqref="L13"/>
    </sheetView>
  </sheetViews>
  <sheetFormatPr defaultColWidth="9.140625" defaultRowHeight="12.75"/>
  <cols>
    <col min="1" max="1" width="6.421875" style="346" hidden="1" customWidth="1"/>
    <col min="2" max="2" width="11.140625" style="347" customWidth="1"/>
    <col min="3" max="3" width="12.28125" style="347" customWidth="1"/>
    <col min="4" max="4" width="47.7109375" style="347" customWidth="1"/>
    <col min="5" max="8" width="16.140625" style="347" hidden="1" customWidth="1"/>
    <col min="9" max="9" width="16.140625" style="347" customWidth="1"/>
    <col min="10" max="11" width="16.140625" style="347" hidden="1" customWidth="1"/>
    <col min="12" max="16384" width="9.140625" style="347" customWidth="1"/>
  </cols>
  <sheetData>
    <row r="1" spans="4:11" ht="12.75">
      <c r="D1" s="379"/>
      <c r="E1" s="438" t="s">
        <v>626</v>
      </c>
      <c r="F1" s="438"/>
      <c r="G1" s="438" t="s">
        <v>628</v>
      </c>
      <c r="H1" s="438"/>
      <c r="I1" s="438" t="s">
        <v>634</v>
      </c>
      <c r="J1" s="438"/>
      <c r="K1" s="438"/>
    </row>
    <row r="2" spans="4:11" ht="12.75">
      <c r="D2" s="379"/>
      <c r="E2" s="381" t="s">
        <v>608</v>
      </c>
      <c r="F2" s="381"/>
      <c r="G2" s="381" t="s">
        <v>608</v>
      </c>
      <c r="H2" s="381"/>
      <c r="I2" s="381" t="s">
        <v>608</v>
      </c>
      <c r="J2" s="381"/>
      <c r="K2" s="381"/>
    </row>
    <row r="3" spans="4:11" ht="12.75">
      <c r="D3" s="379"/>
      <c r="E3" s="381" t="s">
        <v>625</v>
      </c>
      <c r="F3" s="381"/>
      <c r="G3" s="381" t="s">
        <v>627</v>
      </c>
      <c r="H3" s="381"/>
      <c r="I3" s="381" t="s">
        <v>630</v>
      </c>
      <c r="J3" s="381"/>
      <c r="K3" s="381"/>
    </row>
    <row r="4" spans="5:11" ht="12.75" customHeight="1" hidden="1">
      <c r="E4" s="344"/>
      <c r="F4" s="344"/>
      <c r="G4" s="344"/>
      <c r="H4" s="344"/>
      <c r="I4" s="344"/>
      <c r="J4" s="344"/>
      <c r="K4" s="344"/>
    </row>
    <row r="5" spans="1:11" ht="12.75" customHeight="1" hidden="1">
      <c r="A5" s="348"/>
      <c r="B5" s="349"/>
      <c r="C5" s="349"/>
      <c r="D5" s="350"/>
      <c r="E5" s="344"/>
      <c r="F5" s="344"/>
      <c r="G5" s="344"/>
      <c r="H5" s="344"/>
      <c r="I5" s="344"/>
      <c r="J5" s="344"/>
      <c r="K5" s="344"/>
    </row>
    <row r="6" spans="1:11" ht="12.75" customHeight="1" hidden="1">
      <c r="A6" s="348"/>
      <c r="D6" s="350"/>
      <c r="E6" s="344"/>
      <c r="F6" s="344"/>
      <c r="G6" s="344"/>
      <c r="H6" s="344"/>
      <c r="I6" s="344"/>
      <c r="J6" s="344"/>
      <c r="K6" s="344"/>
    </row>
    <row r="7" spans="1:11" s="353" customFormat="1" ht="12.75" customHeight="1" hidden="1">
      <c r="A7" s="348"/>
      <c r="B7" s="351"/>
      <c r="C7" s="351"/>
      <c r="D7" s="352"/>
      <c r="E7" s="344"/>
      <c r="F7" s="344"/>
      <c r="G7" s="344"/>
      <c r="H7" s="344"/>
      <c r="I7" s="344"/>
      <c r="J7" s="344"/>
      <c r="K7" s="344"/>
    </row>
    <row r="8" spans="1:11" s="353" customFormat="1" ht="12.75">
      <c r="A8" s="348"/>
      <c r="B8" s="351"/>
      <c r="C8" s="351"/>
      <c r="D8" s="352"/>
      <c r="E8" s="354"/>
      <c r="F8" s="354"/>
      <c r="G8" s="354"/>
      <c r="H8" s="354"/>
      <c r="I8" s="354"/>
      <c r="J8" s="354"/>
      <c r="K8" s="354"/>
    </row>
    <row r="9" spans="1:11" s="353" customFormat="1" ht="21" customHeight="1">
      <c r="A9" s="355"/>
      <c r="D9" s="380" t="s">
        <v>610</v>
      </c>
      <c r="E9" s="357"/>
      <c r="F9" s="357"/>
      <c r="G9" s="357"/>
      <c r="H9" s="357"/>
      <c r="I9" s="357"/>
      <c r="J9" s="357"/>
      <c r="K9" s="357"/>
    </row>
    <row r="10" spans="1:11" s="353" customFormat="1" ht="15" customHeight="1" thickBot="1">
      <c r="A10" s="358"/>
      <c r="B10" s="359"/>
      <c r="C10" s="359"/>
      <c r="D10" s="356"/>
      <c r="E10" s="360"/>
      <c r="F10" s="360"/>
      <c r="G10" s="444" t="s">
        <v>16</v>
      </c>
      <c r="H10" s="458" t="s">
        <v>631</v>
      </c>
      <c r="I10" s="444" t="s">
        <v>16</v>
      </c>
      <c r="J10" s="456" t="s">
        <v>624</v>
      </c>
      <c r="K10" s="444" t="s">
        <v>16</v>
      </c>
    </row>
    <row r="11" spans="1:11" s="417" customFormat="1" ht="39" customHeight="1" thickBot="1">
      <c r="A11" s="416"/>
      <c r="B11" s="422" t="s">
        <v>615</v>
      </c>
      <c r="C11" s="423" t="s">
        <v>390</v>
      </c>
      <c r="D11" s="424" t="s">
        <v>614</v>
      </c>
      <c r="E11" s="425" t="s">
        <v>623</v>
      </c>
      <c r="F11" s="425" t="s">
        <v>617</v>
      </c>
      <c r="G11" s="425" t="s">
        <v>623</v>
      </c>
      <c r="H11" s="425" t="s">
        <v>617</v>
      </c>
      <c r="I11" s="425" t="s">
        <v>623</v>
      </c>
      <c r="J11" s="425" t="s">
        <v>617</v>
      </c>
      <c r="K11" s="425" t="s">
        <v>623</v>
      </c>
    </row>
    <row r="12" spans="1:11" s="403" customFormat="1" ht="10.5" thickBot="1">
      <c r="A12" s="402"/>
      <c r="B12" s="418">
        <v>1</v>
      </c>
      <c r="C12" s="419">
        <v>2</v>
      </c>
      <c r="D12" s="420">
        <v>3</v>
      </c>
      <c r="E12" s="421">
        <v>4</v>
      </c>
      <c r="F12" s="421">
        <v>4</v>
      </c>
      <c r="G12" s="421">
        <v>4</v>
      </c>
      <c r="H12" s="421">
        <v>4</v>
      </c>
      <c r="I12" s="421">
        <v>4</v>
      </c>
      <c r="J12" s="421">
        <v>4</v>
      </c>
      <c r="K12" s="421">
        <v>4</v>
      </c>
    </row>
    <row r="13" spans="1:11" s="362" customFormat="1" ht="16.5" thickBot="1">
      <c r="A13" s="361"/>
      <c r="B13" s="395" t="s">
        <v>609</v>
      </c>
      <c r="C13" s="396"/>
      <c r="D13" s="397"/>
      <c r="E13" s="442">
        <f aca="true" t="shared" si="0" ref="E13:K13">E14</f>
        <v>446180.44000000006</v>
      </c>
      <c r="F13" s="398">
        <f t="shared" si="0"/>
        <v>0</v>
      </c>
      <c r="G13" s="398">
        <f t="shared" si="0"/>
        <v>446180.44000000006</v>
      </c>
      <c r="H13" s="398">
        <f t="shared" si="0"/>
        <v>0</v>
      </c>
      <c r="I13" s="398">
        <f t="shared" si="0"/>
        <v>446180.44000000006</v>
      </c>
      <c r="J13" s="398">
        <f t="shared" si="0"/>
        <v>0</v>
      </c>
      <c r="K13" s="398">
        <f t="shared" si="0"/>
        <v>446180.44000000006</v>
      </c>
    </row>
    <row r="14" spans="1:11" s="364" customFormat="1" ht="15.75" thickBot="1">
      <c r="A14" s="363"/>
      <c r="B14" s="399" t="s">
        <v>612</v>
      </c>
      <c r="C14" s="400"/>
      <c r="D14" s="401"/>
      <c r="E14" s="387">
        <f aca="true" t="shared" si="1" ref="E14:K14">E16</f>
        <v>446180.44000000006</v>
      </c>
      <c r="F14" s="387">
        <f t="shared" si="1"/>
        <v>0</v>
      </c>
      <c r="G14" s="387">
        <f t="shared" si="1"/>
        <v>446180.44000000006</v>
      </c>
      <c r="H14" s="387">
        <f t="shared" si="1"/>
        <v>0</v>
      </c>
      <c r="I14" s="387">
        <f t="shared" si="1"/>
        <v>446180.44000000006</v>
      </c>
      <c r="J14" s="387">
        <f t="shared" si="1"/>
        <v>0</v>
      </c>
      <c r="K14" s="387">
        <f t="shared" si="1"/>
        <v>446180.44000000006</v>
      </c>
    </row>
    <row r="15" spans="1:11" s="366" customFormat="1" ht="13.5" thickBot="1">
      <c r="A15" s="365"/>
      <c r="B15" s="433" t="s">
        <v>394</v>
      </c>
      <c r="C15" s="434"/>
      <c r="D15" s="435"/>
      <c r="E15" s="437"/>
      <c r="F15" s="437"/>
      <c r="G15" s="437"/>
      <c r="H15" s="437"/>
      <c r="I15" s="437"/>
      <c r="J15" s="437"/>
      <c r="K15" s="437"/>
    </row>
    <row r="16" spans="1:11" s="364" customFormat="1" ht="15.75" thickBot="1">
      <c r="A16" s="363"/>
      <c r="B16" s="399" t="s">
        <v>618</v>
      </c>
      <c r="C16" s="400"/>
      <c r="D16" s="401"/>
      <c r="E16" s="387">
        <f>E17</f>
        <v>446180.44000000006</v>
      </c>
      <c r="F16" s="387">
        <f aca="true" t="shared" si="2" ref="F16:K18">F17</f>
        <v>0</v>
      </c>
      <c r="G16" s="387">
        <f t="shared" si="2"/>
        <v>446180.44000000006</v>
      </c>
      <c r="H16" s="387">
        <f t="shared" si="2"/>
        <v>0</v>
      </c>
      <c r="I16" s="387">
        <f t="shared" si="2"/>
        <v>446180.44000000006</v>
      </c>
      <c r="J16" s="387">
        <f t="shared" si="2"/>
        <v>0</v>
      </c>
      <c r="K16" s="387">
        <f t="shared" si="2"/>
        <v>446180.44000000006</v>
      </c>
    </row>
    <row r="17" spans="1:11" s="70" customFormat="1" ht="12.75">
      <c r="A17" s="345"/>
      <c r="B17" s="410">
        <v>852</v>
      </c>
      <c r="C17" s="411"/>
      <c r="D17" s="412" t="s">
        <v>588</v>
      </c>
      <c r="E17" s="414">
        <f>E18</f>
        <v>446180.44000000006</v>
      </c>
      <c r="F17" s="414">
        <f t="shared" si="2"/>
        <v>0</v>
      </c>
      <c r="G17" s="414">
        <f t="shared" si="2"/>
        <v>446180.44000000006</v>
      </c>
      <c r="H17" s="414">
        <f t="shared" si="2"/>
        <v>0</v>
      </c>
      <c r="I17" s="414">
        <f t="shared" si="2"/>
        <v>446180.44000000006</v>
      </c>
      <c r="J17" s="414">
        <f t="shared" si="2"/>
        <v>0</v>
      </c>
      <c r="K17" s="414">
        <f t="shared" si="2"/>
        <v>446180.44000000006</v>
      </c>
    </row>
    <row r="18" spans="1:11" s="70" customFormat="1" ht="12.75">
      <c r="A18" s="345"/>
      <c r="B18" s="383">
        <v>85202</v>
      </c>
      <c r="C18" s="432"/>
      <c r="D18" s="431" t="s">
        <v>179</v>
      </c>
      <c r="E18" s="384">
        <f>E19</f>
        <v>446180.44000000006</v>
      </c>
      <c r="F18" s="384">
        <f t="shared" si="2"/>
        <v>0</v>
      </c>
      <c r="G18" s="384">
        <f t="shared" si="2"/>
        <v>446180.44000000006</v>
      </c>
      <c r="H18" s="384">
        <f t="shared" si="2"/>
        <v>0</v>
      </c>
      <c r="I18" s="384">
        <f t="shared" si="2"/>
        <v>446180.44000000006</v>
      </c>
      <c r="J18" s="384">
        <f t="shared" si="2"/>
        <v>0</v>
      </c>
      <c r="K18" s="384">
        <f t="shared" si="2"/>
        <v>446180.44000000006</v>
      </c>
    </row>
    <row r="19" spans="1:11" s="70" customFormat="1" ht="42" customHeight="1" thickBot="1">
      <c r="A19" s="345"/>
      <c r="B19" s="413" t="s">
        <v>622</v>
      </c>
      <c r="C19" s="382" t="s">
        <v>611</v>
      </c>
      <c r="D19" s="385" t="s">
        <v>629</v>
      </c>
      <c r="E19" s="415">
        <f>161747.6+284432.84</f>
        <v>446180.44000000006</v>
      </c>
      <c r="F19" s="415"/>
      <c r="G19" s="415">
        <f>E19+F19</f>
        <v>446180.44000000006</v>
      </c>
      <c r="H19" s="415"/>
      <c r="I19" s="415">
        <f>G19+H19</f>
        <v>446180.44000000006</v>
      </c>
      <c r="J19" s="415"/>
      <c r="K19" s="415">
        <f>I19+J19</f>
        <v>446180.44000000006</v>
      </c>
    </row>
    <row r="20" spans="1:11" s="362" customFormat="1" ht="16.5" thickBot="1">
      <c r="A20" s="361"/>
      <c r="B20" s="390" t="s">
        <v>392</v>
      </c>
      <c r="C20" s="391"/>
      <c r="D20" s="392"/>
      <c r="E20" s="393">
        <f aca="true" t="shared" si="3" ref="E20:K20">E21</f>
        <v>446180.44</v>
      </c>
      <c r="F20" s="393">
        <f t="shared" si="3"/>
        <v>0</v>
      </c>
      <c r="G20" s="393">
        <f t="shared" si="3"/>
        <v>446180.44</v>
      </c>
      <c r="H20" s="393">
        <f t="shared" si="3"/>
        <v>0</v>
      </c>
      <c r="I20" s="393">
        <f t="shared" si="3"/>
        <v>446180.44</v>
      </c>
      <c r="J20" s="393">
        <f t="shared" si="3"/>
        <v>0</v>
      </c>
      <c r="K20" s="393">
        <f t="shared" si="3"/>
        <v>446180.44</v>
      </c>
    </row>
    <row r="21" spans="1:11" s="364" customFormat="1" ht="15.75" thickBot="1">
      <c r="A21" s="363"/>
      <c r="B21" s="388" t="s">
        <v>613</v>
      </c>
      <c r="C21" s="386"/>
      <c r="D21" s="394"/>
      <c r="E21" s="387">
        <f aca="true" t="shared" si="4" ref="E21:K21">E23</f>
        <v>446180.44</v>
      </c>
      <c r="F21" s="387">
        <f t="shared" si="4"/>
        <v>0</v>
      </c>
      <c r="G21" s="387">
        <f t="shared" si="4"/>
        <v>446180.44</v>
      </c>
      <c r="H21" s="387">
        <f t="shared" si="4"/>
        <v>0</v>
      </c>
      <c r="I21" s="387">
        <f t="shared" si="4"/>
        <v>446180.44</v>
      </c>
      <c r="J21" s="387">
        <f t="shared" si="4"/>
        <v>0</v>
      </c>
      <c r="K21" s="387">
        <f t="shared" si="4"/>
        <v>446180.44</v>
      </c>
    </row>
    <row r="22" spans="1:11" s="366" customFormat="1" ht="13.5" thickBot="1">
      <c r="A22" s="365"/>
      <c r="B22" s="433" t="s">
        <v>394</v>
      </c>
      <c r="C22" s="434"/>
      <c r="D22" s="435"/>
      <c r="E22" s="436"/>
      <c r="F22" s="436"/>
      <c r="G22" s="436"/>
      <c r="H22" s="436"/>
      <c r="I22" s="436"/>
      <c r="J22" s="436"/>
      <c r="K22" s="436"/>
    </row>
    <row r="23" spans="1:11" s="364" customFormat="1" ht="15.75" thickBot="1">
      <c r="A23" s="363"/>
      <c r="B23" s="388" t="s">
        <v>437</v>
      </c>
      <c r="C23" s="389"/>
      <c r="D23" s="394"/>
      <c r="E23" s="439">
        <f aca="true" t="shared" si="5" ref="E23:K24">E24</f>
        <v>446180.44</v>
      </c>
      <c r="F23" s="387">
        <f t="shared" si="5"/>
        <v>0</v>
      </c>
      <c r="G23" s="387">
        <f t="shared" si="5"/>
        <v>446180.44</v>
      </c>
      <c r="H23" s="387">
        <f t="shared" si="5"/>
        <v>0</v>
      </c>
      <c r="I23" s="387">
        <f t="shared" si="5"/>
        <v>446180.44</v>
      </c>
      <c r="J23" s="387">
        <f t="shared" si="5"/>
        <v>0</v>
      </c>
      <c r="K23" s="387">
        <f t="shared" si="5"/>
        <v>446180.44</v>
      </c>
    </row>
    <row r="24" spans="1:11" s="70" customFormat="1" ht="18.75" customHeight="1">
      <c r="A24" s="345"/>
      <c r="B24" s="409">
        <v>852</v>
      </c>
      <c r="C24" s="407"/>
      <c r="D24" s="428" t="s">
        <v>588</v>
      </c>
      <c r="E24" s="440">
        <f t="shared" si="5"/>
        <v>446180.44</v>
      </c>
      <c r="F24" s="408">
        <f t="shared" si="5"/>
        <v>0</v>
      </c>
      <c r="G24" s="408">
        <f t="shared" si="5"/>
        <v>446180.44</v>
      </c>
      <c r="H24" s="408">
        <f t="shared" si="5"/>
        <v>0</v>
      </c>
      <c r="I24" s="408">
        <f t="shared" si="5"/>
        <v>446180.44</v>
      </c>
      <c r="J24" s="408">
        <f t="shared" si="5"/>
        <v>0</v>
      </c>
      <c r="K24" s="408">
        <f t="shared" si="5"/>
        <v>446180.44</v>
      </c>
    </row>
    <row r="25" spans="1:11" s="366" customFormat="1" ht="15" customHeight="1">
      <c r="A25" s="404"/>
      <c r="B25" s="405">
        <v>85202</v>
      </c>
      <c r="C25" s="430"/>
      <c r="D25" s="429" t="s">
        <v>179</v>
      </c>
      <c r="E25" s="441">
        <f aca="true" t="shared" si="6" ref="E25:K25">SUM(E26:E30)</f>
        <v>446180.44</v>
      </c>
      <c r="F25" s="406">
        <f t="shared" si="6"/>
        <v>0</v>
      </c>
      <c r="G25" s="406">
        <f t="shared" si="6"/>
        <v>446180.44</v>
      </c>
      <c r="H25" s="406">
        <f t="shared" si="6"/>
        <v>0</v>
      </c>
      <c r="I25" s="406">
        <f t="shared" si="6"/>
        <v>446180.44</v>
      </c>
      <c r="J25" s="406">
        <f t="shared" si="6"/>
        <v>0</v>
      </c>
      <c r="K25" s="406">
        <f t="shared" si="6"/>
        <v>446180.44</v>
      </c>
    </row>
    <row r="26" spans="1:11" s="366" customFormat="1" ht="15" customHeight="1">
      <c r="A26" s="404"/>
      <c r="B26" s="445">
        <v>2360</v>
      </c>
      <c r="C26" s="468" t="s">
        <v>620</v>
      </c>
      <c r="D26" s="465" t="s">
        <v>619</v>
      </c>
      <c r="E26" s="448">
        <f>48458.48+90465.4+22823.72</f>
        <v>161747.6</v>
      </c>
      <c r="F26" s="449"/>
      <c r="G26" s="450">
        <f>E26+F26</f>
        <v>161747.6</v>
      </c>
      <c r="H26" s="449"/>
      <c r="I26" s="450">
        <f>G26+H26</f>
        <v>161747.6</v>
      </c>
      <c r="J26" s="449"/>
      <c r="K26" s="450">
        <f>I26+J26</f>
        <v>161747.6</v>
      </c>
    </row>
    <row r="27" spans="1:11" s="366" customFormat="1" ht="15" customHeight="1">
      <c r="A27" s="404"/>
      <c r="B27" s="446">
        <v>4010</v>
      </c>
      <c r="C27" s="469"/>
      <c r="D27" s="466"/>
      <c r="E27" s="451">
        <v>236739</v>
      </c>
      <c r="F27" s="426"/>
      <c r="G27" s="452">
        <f>E27+F27</f>
        <v>236739</v>
      </c>
      <c r="H27" s="426">
        <f>952.52+593.53+483.51+54.96</f>
        <v>2084.52</v>
      </c>
      <c r="I27" s="452">
        <f>G27+H27</f>
        <v>238823.52</v>
      </c>
      <c r="J27" s="426"/>
      <c r="K27" s="452">
        <f>I27+J27</f>
        <v>238823.52</v>
      </c>
    </row>
    <row r="28" spans="1:11" s="366" customFormat="1" ht="15.75" customHeight="1">
      <c r="A28" s="404"/>
      <c r="B28" s="446">
        <v>4110</v>
      </c>
      <c r="C28" s="469"/>
      <c r="D28" s="466"/>
      <c r="E28" s="451">
        <v>41732</v>
      </c>
      <c r="F28" s="426"/>
      <c r="G28" s="426">
        <f>E28+F28</f>
        <v>41732</v>
      </c>
      <c r="H28" s="426">
        <f>50.92-173.35+84.61+31.08</f>
        <v>-6.739999999999995</v>
      </c>
      <c r="I28" s="426">
        <f>G28+H28</f>
        <v>41725.26</v>
      </c>
      <c r="J28" s="426"/>
      <c r="K28" s="426">
        <f>I28+J28</f>
        <v>41725.26</v>
      </c>
    </row>
    <row r="29" spans="1:11" s="70" customFormat="1" ht="17.25" customHeight="1">
      <c r="A29" s="345"/>
      <c r="B29" s="447" t="s">
        <v>616</v>
      </c>
      <c r="C29" s="469"/>
      <c r="D29" s="466"/>
      <c r="E29" s="453">
        <v>5799.84</v>
      </c>
      <c r="F29" s="454"/>
      <c r="G29" s="455">
        <f>E29+F29</f>
        <v>5799.84</v>
      </c>
      <c r="H29" s="454">
        <f>-983.12-416.43-568.12-87.86</f>
        <v>-2055.53</v>
      </c>
      <c r="I29" s="455">
        <f>G29+H29</f>
        <v>3744.31</v>
      </c>
      <c r="J29" s="454"/>
      <c r="K29" s="455">
        <f>I29+J29</f>
        <v>3744.31</v>
      </c>
    </row>
    <row r="30" spans="1:11" s="70" customFormat="1" ht="17.25" customHeight="1" thickBot="1">
      <c r="A30" s="345"/>
      <c r="B30" s="427" t="s">
        <v>621</v>
      </c>
      <c r="C30" s="470"/>
      <c r="D30" s="467"/>
      <c r="E30" s="457">
        <v>162</v>
      </c>
      <c r="F30" s="443"/>
      <c r="G30" s="443">
        <f>E30+F30</f>
        <v>162</v>
      </c>
      <c r="H30" s="443">
        <f>-20.32-3.75+1.82</f>
        <v>-22.25</v>
      </c>
      <c r="I30" s="443">
        <f>G30+H30</f>
        <v>139.75</v>
      </c>
      <c r="J30" s="443"/>
      <c r="K30" s="443">
        <f>I30+J30</f>
        <v>139.75</v>
      </c>
    </row>
    <row r="31" spans="2:11" ht="14.25">
      <c r="B31" s="374"/>
      <c r="C31" s="374"/>
      <c r="D31" s="342"/>
      <c r="E31" s="347" t="b">
        <f aca="true" t="shared" si="7" ref="E31:K31">E20=E13</f>
        <v>1</v>
      </c>
      <c r="F31" s="347" t="b">
        <f t="shared" si="7"/>
        <v>1</v>
      </c>
      <c r="G31" s="347" t="b">
        <f t="shared" si="7"/>
        <v>1</v>
      </c>
      <c r="H31" s="347" t="b">
        <f t="shared" si="7"/>
        <v>1</v>
      </c>
      <c r="I31" s="347" t="b">
        <f t="shared" si="7"/>
        <v>1</v>
      </c>
      <c r="J31" s="347" t="b">
        <f t="shared" si="7"/>
        <v>1</v>
      </c>
      <c r="K31" s="347" t="b">
        <f t="shared" si="7"/>
        <v>1</v>
      </c>
    </row>
    <row r="32" spans="2:4" ht="14.25">
      <c r="B32" s="370"/>
      <c r="C32" s="370"/>
      <c r="D32" s="349"/>
    </row>
    <row r="33" spans="1:4" s="369" customFormat="1" ht="12.75">
      <c r="A33" s="346"/>
      <c r="B33" s="347"/>
      <c r="C33" s="347"/>
      <c r="D33" s="349"/>
    </row>
    <row r="34" spans="1:8" s="369" customFormat="1" ht="12.75" hidden="1">
      <c r="A34" s="346"/>
      <c r="B34" s="347"/>
      <c r="C34" s="347"/>
      <c r="D34" s="376"/>
      <c r="H34" s="369" t="s">
        <v>633</v>
      </c>
    </row>
    <row r="35" spans="1:8" s="369" customFormat="1" ht="12.75" hidden="1">
      <c r="A35" s="346"/>
      <c r="B35" s="347"/>
      <c r="C35" s="347"/>
      <c r="D35" s="349" t="s">
        <v>632</v>
      </c>
      <c r="G35" s="349">
        <v>2360</v>
      </c>
      <c r="H35" s="347">
        <f>0</f>
        <v>0</v>
      </c>
    </row>
    <row r="36" spans="4:9" ht="12.75" hidden="1">
      <c r="D36" s="349"/>
      <c r="G36" s="349">
        <v>4010</v>
      </c>
      <c r="H36" s="347">
        <f>483.51+54.96+952.52+593.53</f>
        <v>2084.52</v>
      </c>
      <c r="I36" s="371">
        <f>G27+H36-I27</f>
        <v>0</v>
      </c>
    </row>
    <row r="37" spans="1:9" ht="12.75" hidden="1">
      <c r="A37" s="367"/>
      <c r="D37" s="459"/>
      <c r="G37" s="459">
        <v>4110</v>
      </c>
      <c r="H37" s="347">
        <f>84.61+31.08+50.92+-173.35</f>
        <v>-6.739999999999981</v>
      </c>
      <c r="I37" s="371">
        <f>G28+H37-I28</f>
        <v>0</v>
      </c>
    </row>
    <row r="38" spans="1:9" s="369" customFormat="1" ht="12.75" hidden="1">
      <c r="A38" s="346"/>
      <c r="B38" s="347"/>
      <c r="C38" s="347"/>
      <c r="D38" s="349"/>
      <c r="G38" s="349" t="s">
        <v>616</v>
      </c>
      <c r="H38" s="347">
        <f>-568.12-87.86-983.12-416.43</f>
        <v>-2055.5299999999997</v>
      </c>
      <c r="I38" s="371">
        <f>G29+H38-I29</f>
        <v>0</v>
      </c>
    </row>
    <row r="39" spans="1:9" s="369" customFormat="1" ht="12.75" hidden="1">
      <c r="A39" s="346"/>
      <c r="B39" s="347"/>
      <c r="C39" s="347"/>
      <c r="D39" s="349"/>
      <c r="G39" s="349" t="s">
        <v>621</v>
      </c>
      <c r="H39" s="460">
        <f>1.82-20.32-3.75</f>
        <v>-22.25</v>
      </c>
      <c r="I39" s="371">
        <f>G30+H39-I30</f>
        <v>0</v>
      </c>
    </row>
    <row r="40" spans="4:8" ht="12.75">
      <c r="D40" s="372"/>
      <c r="H40" s="461"/>
    </row>
    <row r="41" ht="12.75">
      <c r="D41" s="368"/>
    </row>
    <row r="42" spans="1:4" ht="12.75">
      <c r="A42" s="373"/>
      <c r="B42" s="369"/>
      <c r="C42" s="369"/>
      <c r="D42" s="368"/>
    </row>
    <row r="43" spans="1:4" s="375" customFormat="1" ht="15.75">
      <c r="A43" s="346"/>
      <c r="B43" s="347"/>
      <c r="C43" s="347"/>
      <c r="D43" s="368"/>
    </row>
    <row r="44" spans="1:4" s="369" customFormat="1" ht="12.75">
      <c r="A44" s="346"/>
      <c r="B44" s="347"/>
      <c r="C44" s="347"/>
      <c r="D44" s="349"/>
    </row>
    <row r="45" spans="1:4" s="369" customFormat="1" ht="15.75">
      <c r="A45" s="377"/>
      <c r="B45" s="375"/>
      <c r="C45" s="375"/>
      <c r="D45" s="378"/>
    </row>
    <row r="46" spans="1:4" s="369" customFormat="1" ht="12.75">
      <c r="A46" s="346"/>
      <c r="B46" s="347"/>
      <c r="C46" s="347"/>
      <c r="D46" s="349"/>
    </row>
    <row r="47" ht="12.75">
      <c r="D47" s="349"/>
    </row>
    <row r="48" ht="12.75">
      <c r="D48" s="349"/>
    </row>
    <row r="49" spans="2:4" ht="12.75">
      <c r="B49" s="369"/>
      <c r="C49" s="369"/>
      <c r="D49" s="372"/>
    </row>
    <row r="50" ht="12.75">
      <c r="D50" s="342"/>
    </row>
    <row r="51" ht="12.75">
      <c r="D51" s="342"/>
    </row>
    <row r="52" spans="2:4" ht="12.75">
      <c r="B52" s="371"/>
      <c r="C52" s="371"/>
      <c r="D52" s="342"/>
    </row>
    <row r="63" ht="12.75">
      <c r="A63" s="347"/>
    </row>
    <row r="64" spans="1:11" ht="12.75">
      <c r="A64" s="347"/>
      <c r="E64" s="371"/>
      <c r="F64" s="371"/>
      <c r="G64" s="371"/>
      <c r="H64" s="371"/>
      <c r="I64" s="371"/>
      <c r="J64" s="371"/>
      <c r="K64" s="371"/>
    </row>
    <row r="65" spans="1:11" ht="12.75">
      <c r="A65" s="347"/>
      <c r="E65" s="371"/>
      <c r="F65" s="371"/>
      <c r="G65" s="371"/>
      <c r="H65" s="371"/>
      <c r="I65" s="371"/>
      <c r="J65" s="371"/>
      <c r="K65" s="371"/>
    </row>
    <row r="66" spans="1:11" ht="12.75">
      <c r="A66" s="347"/>
      <c r="E66" s="371"/>
      <c r="F66" s="371"/>
      <c r="G66" s="371"/>
      <c r="H66" s="371"/>
      <c r="I66" s="371"/>
      <c r="J66" s="371"/>
      <c r="K66" s="371"/>
    </row>
    <row r="67" spans="1:11" ht="12.75">
      <c r="A67" s="347"/>
      <c r="E67" s="371"/>
      <c r="F67" s="371"/>
      <c r="G67" s="371"/>
      <c r="H67" s="371"/>
      <c r="I67" s="371"/>
      <c r="J67" s="371"/>
      <c r="K67" s="371"/>
    </row>
    <row r="68" spans="1:11" ht="12.75">
      <c r="A68" s="347"/>
      <c r="E68" s="371"/>
      <c r="F68" s="371"/>
      <c r="G68" s="371"/>
      <c r="H68" s="371"/>
      <c r="I68" s="371"/>
      <c r="J68" s="371"/>
      <c r="K68" s="371"/>
    </row>
    <row r="69" spans="1:11" ht="12.75">
      <c r="A69" s="347"/>
      <c r="E69" s="371"/>
      <c r="F69" s="371"/>
      <c r="G69" s="371"/>
      <c r="H69" s="371"/>
      <c r="I69" s="371"/>
      <c r="J69" s="371"/>
      <c r="K69" s="371"/>
    </row>
  </sheetData>
  <sheetProtection/>
  <mergeCells count="2">
    <mergeCell ref="D26:D30"/>
    <mergeCell ref="C26:C30"/>
  </mergeCells>
  <printOptions horizontalCentered="1"/>
  <pageMargins left="0.2755905511811024" right="0.2755905511811024" top="0.4724409448818898" bottom="0.35433070866141736" header="0.5118110236220472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Palkowska</dc:creator>
  <cp:keywords/>
  <dc:description/>
  <cp:lastModifiedBy>Magdalena Szczanowicz</cp:lastModifiedBy>
  <cp:lastPrinted>2022-03-10T15:14:24Z</cp:lastPrinted>
  <dcterms:created xsi:type="dcterms:W3CDTF">2015-12-21T12:47:50Z</dcterms:created>
  <dcterms:modified xsi:type="dcterms:W3CDTF">2022-09-05T12:15:05Z</dcterms:modified>
  <cp:category/>
  <cp:version/>
  <cp:contentType/>
  <cp:contentStatus/>
</cp:coreProperties>
</file>