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90" windowWidth="12420" windowHeight="8445" activeTab="0"/>
  </bookViews>
  <sheets>
    <sheet name="zal2" sheetId="1" r:id="rId1"/>
  </sheets>
  <externalReferences>
    <externalReference r:id="rId4"/>
  </externalReferences>
  <definedNames>
    <definedName name="ih0">'[1]WYDATKI -r'!#REF!</definedName>
    <definedName name="in0">'[1]WYDATKI -r'!#REF!</definedName>
    <definedName name="inf1">'[1]WYDATKI -r'!#REF!</definedName>
    <definedName name="inflacja01">'[1]WYDATKI -r'!#REF!</definedName>
    <definedName name="_xlnm.Print_Area" localSheetId="0">'zal2'!$B$1:$AD$586</definedName>
    <definedName name="_xlnm.Print_Titles" localSheetId="0">'zal2'!$15:$20</definedName>
    <definedName name="z2">'[1]WYDATKI -r'!#REF!</definedName>
  </definedNames>
  <calcPr fullCalcOnLoad="1"/>
</workbook>
</file>

<file path=xl/sharedStrings.xml><?xml version="1.0" encoding="utf-8"?>
<sst xmlns="http://schemas.openxmlformats.org/spreadsheetml/2006/main" count="655" uniqueCount="339">
  <si>
    <t>RADY MIASTA POZNANIA</t>
  </si>
  <si>
    <t>stanowiący korektę</t>
  </si>
  <si>
    <t>załącznika nr 2 do uchwały Nr XXIX/278/V/2007</t>
  </si>
  <si>
    <t>z dnia 21 grudnia 2007r.</t>
  </si>
  <si>
    <t>WYDATKI  BUDŻETU</t>
  </si>
  <si>
    <t>w zł</t>
  </si>
  <si>
    <t>z tego:</t>
  </si>
  <si>
    <t>Dział</t>
  </si>
  <si>
    <t>Wyszczególnienie</t>
  </si>
  <si>
    <t>Plan na 2008 r.</t>
  </si>
  <si>
    <t>Zmiany</t>
  </si>
  <si>
    <t xml:space="preserve">Plan </t>
  </si>
  <si>
    <t>Rozdz.</t>
  </si>
  <si>
    <t>Wydatki</t>
  </si>
  <si>
    <t>po zmianach</t>
  </si>
  <si>
    <t xml:space="preserve"> </t>
  </si>
  <si>
    <t xml:space="preserve"> bieżące</t>
  </si>
  <si>
    <t>majątkowe</t>
  </si>
  <si>
    <t>na 2008 r.</t>
  </si>
  <si>
    <t>WYDATKI  OGÓŁEM</t>
  </si>
  <si>
    <t>Wydatki na zadania gminy ogółem:</t>
  </si>
  <si>
    <t>Wydatki na zadania własne gminy:</t>
  </si>
  <si>
    <t>010</t>
  </si>
  <si>
    <t>Rolnictwo i łowiectwo</t>
  </si>
  <si>
    <t>01008</t>
  </si>
  <si>
    <t>Melioracje wodne</t>
  </si>
  <si>
    <t>01030</t>
  </si>
  <si>
    <t>Izby rolnicze</t>
  </si>
  <si>
    <t>01095</t>
  </si>
  <si>
    <t>Pozostała działalność</t>
  </si>
  <si>
    <t>Program "Zielony Poznań" i Święto Plonów</t>
  </si>
  <si>
    <t>Dopłata do zadań "zleconych"</t>
  </si>
  <si>
    <t>Zadania z zakresu rolnictwa</t>
  </si>
  <si>
    <t>Samorządy pomocnicze</t>
  </si>
  <si>
    <t>Wytwarzanie i zaopatrywanie w energię elektryczną, gaz i wodę</t>
  </si>
  <si>
    <t>Dostarczanie wody</t>
  </si>
  <si>
    <t>Transport i łączność</t>
  </si>
  <si>
    <t>Lokalny transport zbiorowy</t>
  </si>
  <si>
    <t>Usługi komunikacyjne</t>
  </si>
  <si>
    <t>w tym:na pod.poroz.(umów) między jedn.sam.teryt.</t>
  </si>
  <si>
    <t>Drogi publiczne gminne</t>
  </si>
  <si>
    <t>ZDM</t>
  </si>
  <si>
    <t>w tym: programy unijne</t>
  </si>
  <si>
    <t>Przedsięwzięcia z udziałem innych inwestorów</t>
  </si>
  <si>
    <t>Drogi wewnętrzne</t>
  </si>
  <si>
    <t>Gospodarowanie mieniem miasta</t>
  </si>
  <si>
    <t>Zadania z zakresu gospodarki komunalnej</t>
  </si>
  <si>
    <t>Zakup akcji i udziałów w spółkach</t>
  </si>
  <si>
    <t xml:space="preserve">Turystyka </t>
  </si>
  <si>
    <t>Zadania w zakresie upowszechniania turystyki</t>
  </si>
  <si>
    <t>Promocja turystyki</t>
  </si>
  <si>
    <t>Gospodarka mieszkaniowa</t>
  </si>
  <si>
    <t>Zakłady gospodarki mieszkaniowej</t>
  </si>
  <si>
    <t>Gospodarka gruntami i nieruchomościami</t>
  </si>
  <si>
    <t>Towarzystwa Budownictwa Społecznego</t>
  </si>
  <si>
    <t>Opracowania</t>
  </si>
  <si>
    <t>Działalność usługowa</t>
  </si>
  <si>
    <t>Biura planowania przestrzennego</t>
  </si>
  <si>
    <t>Plany zagospodarowania przestrzennego</t>
  </si>
  <si>
    <t>Ośrodki dokumentacji geodezyjnej i kartograficznej</t>
  </si>
  <si>
    <t>Rewitalizacja obszarów miejskich oraz Trakt Królewsko - Cesarski</t>
  </si>
  <si>
    <t>Urbanistyka i Architektura</t>
  </si>
  <si>
    <t>Informatyka</t>
  </si>
  <si>
    <t>Nauka</t>
  </si>
  <si>
    <t>w tym: programy unijne (na podst.poroz.(umów) między jst)</t>
  </si>
  <si>
    <t>Administracja publiczna</t>
  </si>
  <si>
    <t>Rady gmin (miast i miast na prawach powiatu)</t>
  </si>
  <si>
    <t>Urzędy gmin (miast i miast na prawach powiatu)</t>
  </si>
  <si>
    <t>Promocja jednostek samorządu terytorialnego</t>
  </si>
  <si>
    <t>Programy unijne</t>
  </si>
  <si>
    <t>Działalność informacyjna</t>
  </si>
  <si>
    <t>Wspieranie przed.i ochrona konsum.</t>
  </si>
  <si>
    <t>Urzędy naczelnych organów władzy państwowej, kontroli i ochrony prawa oraz sądownictwa</t>
  </si>
  <si>
    <t>Wybory do Sejmu i Senatu</t>
  </si>
  <si>
    <t>Obrona narodowa</t>
  </si>
  <si>
    <t>Wojska Lądowe - dopłata do zad. zleconych</t>
  </si>
  <si>
    <t>Bezpiecz.publiczne i ochrona przeciwpożarowa</t>
  </si>
  <si>
    <t>Ochotnicze straże pożarne</t>
  </si>
  <si>
    <t>Obrona cywilna</t>
  </si>
  <si>
    <t>Straż Miejska</t>
  </si>
  <si>
    <t>Pozostała działalność, w tym:</t>
  </si>
  <si>
    <t>Bezpieczne Miasto</t>
  </si>
  <si>
    <t>Nagrody dla Najlepszego Dzielnicowego i Strażaka Miasta</t>
  </si>
  <si>
    <t>Dochody od osób prawnych, od osób fizycznych i od innych jednostek nieposiadających osobowości prawnej oraz wydatki związane z ich poborem</t>
  </si>
  <si>
    <t xml:space="preserve">Pobór podatków, opłat i niepodatkowych należności budżetowych </t>
  </si>
  <si>
    <t>Prowizje z tyt. poboru podatków i opłat lokalnych</t>
  </si>
  <si>
    <t>Obsługa długu publicznego</t>
  </si>
  <si>
    <t>Obsługa papierów wartościowych, kredytów i pożyczek jednostek samorządu terytorialnego</t>
  </si>
  <si>
    <t>Różne rozliczenia</t>
  </si>
  <si>
    <t>Część oświatowa subwencji ogólnej dla jednostek samorządu terytorialnego</t>
  </si>
  <si>
    <t>Różne rozliczenia finansowe</t>
  </si>
  <si>
    <t>Składki i opłaty</t>
  </si>
  <si>
    <t>Wypłaty z tytułu gwarancji i poręczeń</t>
  </si>
  <si>
    <t>Rezerwy ogólne i celowe</t>
  </si>
  <si>
    <t>Rezerwa ogólna</t>
  </si>
  <si>
    <t>Rezerwy celowe na:</t>
  </si>
  <si>
    <t xml:space="preserve">   - realizację zadań własnych z zakresu zarządzania
     kryzysowego</t>
  </si>
  <si>
    <t xml:space="preserve">   - odszkodowania za grunty</t>
  </si>
  <si>
    <t xml:space="preserve">   - wydatki bieżące, związane z realizacją zadań
     przez placówki i szkoły, w rozumieniu art.2 
     ustawy o systemie oświaty</t>
  </si>
  <si>
    <t xml:space="preserve">   - przygotowanie i realizację zadań wnioskowanych 
     o dofinansowanie z funduszy UE</t>
  </si>
  <si>
    <t xml:space="preserve">   - przedsięwzięcia z udziałem innych inwestorów</t>
  </si>
  <si>
    <t xml:space="preserve"> ,</t>
  </si>
  <si>
    <t xml:space="preserve">   - świadczeniam rodzinne</t>
  </si>
  <si>
    <t xml:space="preserve">   - samorządy pomocnicze</t>
  </si>
  <si>
    <t xml:space="preserve">   - na realizację Planu Rozwoju Miasta</t>
  </si>
  <si>
    <t xml:space="preserve">   - wspieranie inicjatyw pracowniczych</t>
  </si>
  <si>
    <t xml:space="preserve">   - realizację przedsięwzięć w ramach "Roku Klimatu 
     i Środowiska"</t>
  </si>
  <si>
    <t xml:space="preserve">   - na regulację wynagrodzeń pracowników 
     jednostek organizacyjnych Miasta</t>
  </si>
  <si>
    <t xml:space="preserve">   - na odbudowę Zamku Królewskiego na Wzgórzu 
     Przemysła </t>
  </si>
  <si>
    <t xml:space="preserve">   - wydatki związane z wykonywaniem przez skazanych
     prac społecznie użytecznych</t>
  </si>
  <si>
    <t xml:space="preserve">   - na Centrum Obsługi Mieszkańców</t>
  </si>
  <si>
    <t xml:space="preserve">   - na fontannę na Placu Wolności</t>
  </si>
  <si>
    <t>Część równoważąca subwencji ogólnej dla gmin</t>
  </si>
  <si>
    <t>Oświata i wychowanie</t>
  </si>
  <si>
    <t>Szkoły podstawowe</t>
  </si>
  <si>
    <t>Placówki samorządowe</t>
  </si>
  <si>
    <t xml:space="preserve">         programy NMF oraz MFEOG</t>
  </si>
  <si>
    <t>Placówki niesamorządowe</t>
  </si>
  <si>
    <t>Oddziały przedszkolne w szkołach podstawowych</t>
  </si>
  <si>
    <t xml:space="preserve">Placówki samorządowe </t>
  </si>
  <si>
    <t xml:space="preserve">Placówki niesamorządowe </t>
  </si>
  <si>
    <t>w tym: na podst.poroz.między jedn.sam.teryt. za dzieci z innych gmin uczęszczające do przedszkoli w Poznaniu</t>
  </si>
  <si>
    <t xml:space="preserve">Dotacje celowe przekazane na podst. porozumień między jedn.sam.teryt. za dzieci z Poznania uczęszczające do przedszkoli w innych gminach </t>
  </si>
  <si>
    <t>w tym: w placówkach samorządowych</t>
  </si>
  <si>
    <t xml:space="preserve">          w placówkach niesamorządowych</t>
  </si>
  <si>
    <t>Przedszkola</t>
  </si>
  <si>
    <t>Przedszkola samorządowe - zakłady budżetowe</t>
  </si>
  <si>
    <t>Pozostałe inwestycje</t>
  </si>
  <si>
    <t>Przedszkola specjalne</t>
  </si>
  <si>
    <t>Dowożenie uczniów do szkół</t>
  </si>
  <si>
    <t>Dokształcanie i doskonalenie nauczycieli</t>
  </si>
  <si>
    <t>Zadania z zakresu oświaty</t>
  </si>
  <si>
    <t>Zakładowy fundusz ŚS dla emerytowanych nauczycieli</t>
  </si>
  <si>
    <t>Gospodarstwa pomocnicze</t>
  </si>
  <si>
    <t>Szkolnictwo wyższe</t>
  </si>
  <si>
    <t>Ochrona zdrowia</t>
  </si>
  <si>
    <t>Szpitale ogólne</t>
  </si>
  <si>
    <t>Zakłady opiekuńczo-lecznicze i pielęgnacyjno-opiekuńcze</t>
  </si>
  <si>
    <t>Lecznictwo ambulatoryjne</t>
  </si>
  <si>
    <t>Programy profilaktyki zdrowotnej</t>
  </si>
  <si>
    <t>Zwalczanie narkomanii</t>
  </si>
  <si>
    <t>Przeciwdziałanie alkoholizmowi</t>
  </si>
  <si>
    <t>Izby wytrzeźwień</t>
  </si>
  <si>
    <t>Izba wytrzeźwień</t>
  </si>
  <si>
    <t>Programy zdrowotne</t>
  </si>
  <si>
    <t>Restrukturyzacja ZOZ-ów</t>
  </si>
  <si>
    <t>Audyt zewnętrzny</t>
  </si>
  <si>
    <t>Pomoc społeczna</t>
  </si>
  <si>
    <t>Domy pomocy społecznej</t>
  </si>
  <si>
    <t>Ośrodki wsparcia</t>
  </si>
  <si>
    <t>Urząd Miasta Poznania</t>
  </si>
  <si>
    <t>Placówki niepubliczne</t>
  </si>
  <si>
    <t>Świadczenia rodzinne, zaliczka alimentacyjna  oraz składki na ubezpieczenia emerytalne i rentowe z ubezpieczenia społecznego, w tym:</t>
  </si>
  <si>
    <t>Dodatek dla rodzin wielodzietnych</t>
  </si>
  <si>
    <t>Składki na ubezpieczenia zdrowotne opłacane za osoby pobierające niektóre świadczenia pomocy społecznej oraz niektóre świadczenia rodzinne</t>
  </si>
  <si>
    <t>Dodatki mieszkaniowe</t>
  </si>
  <si>
    <t>Ośrodki pomocy społecznej</t>
  </si>
  <si>
    <t>w tym: Skuteczna pomoc  w aktywnych społecznościach - wkład własny</t>
  </si>
  <si>
    <t>Aby pomagać skutecznie - superwizja konsultacyjno-wspierająca - wkład własny</t>
  </si>
  <si>
    <t>Usługi opiekuńcze i specjalist.usługi opiek.</t>
  </si>
  <si>
    <t>Dotacje celowe przekazane na podst. porozumień do innych jednostek samorządu terytorialnego</t>
  </si>
  <si>
    <t>Profilaktyka i pomoc społeczna oraz działania na rzecz osób niepełnosprawnych</t>
  </si>
  <si>
    <t>Program"Posiłek dla potrzebujących"</t>
  </si>
  <si>
    <t>Pomoc państwa w zakresie dożywiania</t>
  </si>
  <si>
    <t>Prace społecznie użyteczne</t>
  </si>
  <si>
    <t>Reintegracja społeczno- zawodowa - kontynuacja programu</t>
  </si>
  <si>
    <t xml:space="preserve">Pomoc finansowa </t>
  </si>
  <si>
    <t>Pozostałe zadania w zakresie polityki społecznej</t>
  </si>
  <si>
    <t>Żłobki</t>
  </si>
  <si>
    <t>Edukacyjna opieka wychowawcza</t>
  </si>
  <si>
    <t>Świetlice szkolne</t>
  </si>
  <si>
    <t>Wczesne wspomaganie rozwoju dziecka</t>
  </si>
  <si>
    <t>Kolonie i obozy oraz inne formy wypoczynku dzieci i młodzieży szkolnej, a także szkolenia młodzieży</t>
  </si>
  <si>
    <t>Pomoc materialna dla uczniów</t>
  </si>
  <si>
    <t>Program rządowy</t>
  </si>
  <si>
    <t>w tym: Samorządy pomocnicze</t>
  </si>
  <si>
    <t>Gospodarka komunalna i ochrona środowiska</t>
  </si>
  <si>
    <t>Gospodarka ściekowa i ochrona wód</t>
  </si>
  <si>
    <t>Infrastruktura wodno-kanalizacyjna</t>
  </si>
  <si>
    <t>Ochrona środowiska</t>
  </si>
  <si>
    <t>Gospodarka odpadami</t>
  </si>
  <si>
    <t>Zakład Zagospodarowania Odpadów</t>
  </si>
  <si>
    <t>Oczyszczanie miast i wsi, w tym:</t>
  </si>
  <si>
    <t>Utrzymanie zieleni w miastach i gminach</t>
  </si>
  <si>
    <t>ZZM</t>
  </si>
  <si>
    <t>Schroniska dla zwierząt</t>
  </si>
  <si>
    <t>Usługi Komunalne - Schronisko dla zwierząt</t>
  </si>
  <si>
    <t>Oświetlenie ulic, placów i dróg</t>
  </si>
  <si>
    <t>Usługi Komunalne</t>
  </si>
  <si>
    <t>Kultura i ochrona dziedzictwa narodowego</t>
  </si>
  <si>
    <t>Pozostałe zadania w zakresie kultury</t>
  </si>
  <si>
    <t>Zadania z zakresu kultury</t>
  </si>
  <si>
    <t>Domy i ośrodki kultury, świetlice i kluby</t>
  </si>
  <si>
    <t>DK "Stokrotka"</t>
  </si>
  <si>
    <t>Galerie i biura wystaw artystycznych</t>
  </si>
  <si>
    <t>Galeria Miejska "Arsenał"</t>
  </si>
  <si>
    <t>Centra kultury i sztuki</t>
  </si>
  <si>
    <t>Centrum Kultury "Zamek"</t>
  </si>
  <si>
    <t>Pozostałe instytucje kultury</t>
  </si>
  <si>
    <t>Poznański Chór Chłopięcy</t>
  </si>
  <si>
    <t>Biblioteki</t>
  </si>
  <si>
    <t>Biblioteka Raczyńskich</t>
  </si>
  <si>
    <t>Muzea</t>
  </si>
  <si>
    <t>Wielkopolskie Muzeum Walk Niepodległościowych</t>
  </si>
  <si>
    <t>Muzeum Archeologiczne</t>
  </si>
  <si>
    <t>Narodowe</t>
  </si>
  <si>
    <t>Ochrona zabytków i opieka nad zabytkami</t>
  </si>
  <si>
    <t xml:space="preserve">Zadania z zakresu kultury </t>
  </si>
  <si>
    <t>Działalność promocyjno-informacyjna</t>
  </si>
  <si>
    <t>Rezerwa celowa</t>
  </si>
  <si>
    <t>Ogrody botaniczne i zoologiczne oraz 
natur. obszary i obiekty chronionej przyrody</t>
  </si>
  <si>
    <t>Ogrody botaniczne i zoologiczne</t>
  </si>
  <si>
    <t>ZOO</t>
  </si>
  <si>
    <t>Palmiarnia Poznańska</t>
  </si>
  <si>
    <t>Ogród Botaniczny</t>
  </si>
  <si>
    <t>Kultura fizyczna i sport</t>
  </si>
  <si>
    <t>Obiekty sportowe</t>
  </si>
  <si>
    <t>Instytucje kultury fizycznej</t>
  </si>
  <si>
    <t>POSiR</t>
  </si>
  <si>
    <t>Zadania w zakresie kultury fizycznej i sportu</t>
  </si>
  <si>
    <t>Zadania z zakresu kultury fizycznej</t>
  </si>
  <si>
    <t>Wydatki na zadania zlecone gminom</t>
  </si>
  <si>
    <t>Zadania zlecone ustawami</t>
  </si>
  <si>
    <t>Urzędy wojewódzkie</t>
  </si>
  <si>
    <t>Urzędy naczel.org.władzy państ., kontr.
i ochrony prawa oraz sądownictwa</t>
  </si>
  <si>
    <t>Urzędy nacz.org.władzy pań., kontr.i ochr.prawa</t>
  </si>
  <si>
    <t>Wybory Prezydenta Rzeczypospolitej Polskiej</t>
  </si>
  <si>
    <t>Wybory do rad gmin, rad powiatów i sejmików województw, wybory wójtów, burmistrzów i prezydentów miast oraz referenda gminne, powiatowe i wojewódzkie</t>
  </si>
  <si>
    <t>Bezpieczeństwo publ.i ochrona przeciwpożarowa</t>
  </si>
  <si>
    <t xml:space="preserve">Pozostałą działalność </t>
  </si>
  <si>
    <t>Świadczenia rodzinne, zaliczka alimentacyjna 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</si>
  <si>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</si>
  <si>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</si>
  <si>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Usługi opiekuńcze i specjal.usługi opiekuńcze</t>
  </si>
  <si>
    <t>Zadania zlecone na podstawie porozumień 
 z organami administracji rządowej</t>
  </si>
  <si>
    <t>Cmentarze</t>
  </si>
  <si>
    <t>Centra kultury  i sztuki</t>
  </si>
  <si>
    <t>Centrum Sztuki Dziecka</t>
  </si>
  <si>
    <t>w tym:na podst.poroz.z organ.adm.rząd.</t>
  </si>
  <si>
    <t>Wydatki na zadania powiatu ogółem:</t>
  </si>
  <si>
    <t>Wydatki na zadania własne powiatu:</t>
  </si>
  <si>
    <t>020</t>
  </si>
  <si>
    <t>Leśnictwo</t>
  </si>
  <si>
    <t>02001</t>
  </si>
  <si>
    <t>Gospodarka leśna</t>
  </si>
  <si>
    <t>02002</t>
  </si>
  <si>
    <t>Nadzór nad gospodarką leśną</t>
  </si>
  <si>
    <t>Drogi publ.w miastach na prawach powiatu</t>
  </si>
  <si>
    <t xml:space="preserve"> - na pod.poroz.(umów) między jedn.sam.teryt.</t>
  </si>
  <si>
    <t xml:space="preserve">Pozostała działalność </t>
  </si>
  <si>
    <t>Nadzór budowlany</t>
  </si>
  <si>
    <t>Komisje poborowe</t>
  </si>
  <si>
    <t>Komendy wojewódzkie Policji</t>
  </si>
  <si>
    <t>Komendy powiat.Państwowej Straży Pożarnej</t>
  </si>
  <si>
    <t>Część równoważąca subwencji ogólnej dla powiatów</t>
  </si>
  <si>
    <t>Szkoły podstawowe specjalne</t>
  </si>
  <si>
    <t>Gimnazja specjalne</t>
  </si>
  <si>
    <t>Licea ogólnokształcące</t>
  </si>
  <si>
    <t>Licea ogólnokształcące specjalne</t>
  </si>
  <si>
    <t>Licea profilowane</t>
  </si>
  <si>
    <t>Szkoły zawodowe</t>
  </si>
  <si>
    <t xml:space="preserve">          Leonardo da Vinci - wkład własny</t>
  </si>
  <si>
    <t>w tym: Program RITA</t>
  </si>
  <si>
    <t>Szkoły artystyczne</t>
  </si>
  <si>
    <t>Szkoły zawodowe specjalne</t>
  </si>
  <si>
    <t>Centra kształcenia ustawicznego i praktycznego</t>
  </si>
  <si>
    <t>Program: "Edukacja kobiet na poznańskim rynku pracy"</t>
  </si>
  <si>
    <t>Reforma - wynagrodzenie za egzaminy maturalne</t>
  </si>
  <si>
    <t>Składki na ubezpieczenie zdrowotne oraz świadczenia dla osób nieobjętych obowiązkiem ubezpieczenia zdrowotnego</t>
  </si>
  <si>
    <t>Placówki opiekuńczo-wychowawcze</t>
  </si>
  <si>
    <t>Usamodzielnienie wychowanków</t>
  </si>
  <si>
    <t>Mieszkania chronione dla wychowanków</t>
  </si>
  <si>
    <t>Utrzymanie dzieci z powiatu na terenie innego powiatu</t>
  </si>
  <si>
    <t>Dopłata do zadań zleconych</t>
  </si>
  <si>
    <t>Rodziny zastępcze</t>
  </si>
  <si>
    <t>Powiatowe centra pomocy rodzinie</t>
  </si>
  <si>
    <t xml:space="preserve">Mieszkania chronione </t>
  </si>
  <si>
    <t>Ośrodki adopcyjno-opiekuńcze</t>
  </si>
  <si>
    <t>Ośrodek Adopcyjno-Opiekuńczy</t>
  </si>
  <si>
    <t>Programy pomocy osobom niepełnosprawnym</t>
  </si>
  <si>
    <t>Program z zakresu opieki nad dzieckiem i rodziną</t>
  </si>
  <si>
    <t>Rehabilitacja zawodowa i społeczna osób niepełnosprawnych</t>
  </si>
  <si>
    <t>Zespoły do spraw orzekania o stopniu niepełnosprawności</t>
  </si>
  <si>
    <t>Państwowy Fundusz Rehabilitacji Osób Niepelnosprawnych</t>
  </si>
  <si>
    <t>Powiatowe urzędy pracy</t>
  </si>
  <si>
    <t>Pomoc dla repatriantów</t>
  </si>
  <si>
    <t>Centrum Doradztwa Zawodowego dla Młodzieży</t>
  </si>
  <si>
    <t>Wydział Zdrowia i Spraw Społecznych</t>
  </si>
  <si>
    <t>Specjalne ośrodki szkolno-wychowawcze</t>
  </si>
  <si>
    <t>w tym:wkład własny</t>
  </si>
  <si>
    <t>Poradnie psychol.-pedag., w tym por.specj.</t>
  </si>
  <si>
    <t>Placówki wychowania pozaszkolnego</t>
  </si>
  <si>
    <t>Internaty i bursy szkolne</t>
  </si>
  <si>
    <t>Pomoc materialna dla uczniów, w tym</t>
  </si>
  <si>
    <t xml:space="preserve">Programy unijne </t>
  </si>
  <si>
    <t>w tym: na podst.poroz.(umów) między jst</t>
  </si>
  <si>
    <t>Szkolne schroniska młodzieżowe</t>
  </si>
  <si>
    <t>Teatry</t>
  </si>
  <si>
    <t>Teatr Animacji</t>
  </si>
  <si>
    <t>Teatr Muzyczny</t>
  </si>
  <si>
    <t>Teatr Polski</t>
  </si>
  <si>
    <t>Teatr Ósmego Dnia</t>
  </si>
  <si>
    <t>Estrada Poznańska</t>
  </si>
  <si>
    <t>Wydatki na zadania z zakresu administr.</t>
  </si>
  <si>
    <t>rządowej realizowane przez powiat</t>
  </si>
  <si>
    <t>z tego: 
Zadania zlecone ustawami</t>
  </si>
  <si>
    <t>GEOPOZ</t>
  </si>
  <si>
    <t>Gospodarowanie mieniem Skarbu Państwa</t>
  </si>
  <si>
    <t>Prace geodezyjne i kartograficzne /nieinwest/</t>
  </si>
  <si>
    <t>Opracowania geodezyjne i kartograficzne</t>
  </si>
  <si>
    <t>Bezpieczeństwo publiczne i ochrona przeciwpożarowa</t>
  </si>
  <si>
    <t>Świadczenia rodzinne oraz składki na ubezpieczenia emerytalne i rentowe z ubezpieczenia społecznego</t>
  </si>
  <si>
    <t>Pomoc dla uchodźców</t>
  </si>
  <si>
    <t>Zespoły do spraw orzekania o niepełnosprawności</t>
  </si>
  <si>
    <t>Opieka społeczna</t>
  </si>
  <si>
    <t>suma</t>
  </si>
  <si>
    <t xml:space="preserve">         NMF oraz MFEOG</t>
  </si>
  <si>
    <t>gmina</t>
  </si>
  <si>
    <t>powiat</t>
  </si>
  <si>
    <t>Rezerwy razem</t>
  </si>
  <si>
    <t>Rezerwy celowe razem</t>
  </si>
  <si>
    <t>Rezerwa celowa bez 75818</t>
  </si>
  <si>
    <t>Jednostki specjalist.poradnictwa, mieszkania chronione i ośrodki interwencji kryzysowej, w tym:</t>
  </si>
  <si>
    <t>Szkoły podstawowe, w tym:</t>
  </si>
  <si>
    <t>Gimnazja, w tym:</t>
  </si>
  <si>
    <t xml:space="preserve">Miejskie Centrum Interwencji Kryzysowej, </t>
  </si>
  <si>
    <t xml:space="preserve">  - na przedsięwzięcia związane z obchodami 90 rocznicy
    Powstania Wielkopolskiego</t>
  </si>
  <si>
    <t>Dotacje celowe przekazane na podstawie porozumień j.s.t.</t>
  </si>
  <si>
    <t xml:space="preserve">Rezerwa celowa </t>
  </si>
  <si>
    <t xml:space="preserve">  - na pokrycie potecjalnych zobowiązań wynikających 
    z realizacji projektu "Oczyszczanie ścieków i dostawa
    wody dla Miasta Poznania"</t>
  </si>
  <si>
    <t xml:space="preserve">Zasiłki i pomoc w naturze oraz składki na ubezpieczenia emerytalne i rentowe, w tym: </t>
  </si>
  <si>
    <t>Programy systemowe "Pomoc - aktywizacja - wsparcie"</t>
  </si>
  <si>
    <t>Programy systemowe "Pomoc - aktywizacja  - wsparcie"</t>
  </si>
  <si>
    <t>w tym:
na pod.poroz.(umów) między jedn.sam.teryt.</t>
  </si>
  <si>
    <t>PREZYDENTA MIASTA POZNANIA</t>
  </si>
  <si>
    <t>z dnia 30 czerwca 2008 r.</t>
  </si>
  <si>
    <t>Załącznik nr 2 do zarządzenia Nr 363/2008/P</t>
  </si>
  <si>
    <t>projekt: "pomoc-aktywizacja-wsparcie"</t>
  </si>
  <si>
    <t>Filharmonie, orkiestry, chóry i kapele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</si>
</sst>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000"/>
    <numFmt numFmtId="166" formatCode="0.000"/>
    <numFmt numFmtId="167" formatCode="&quot;$&quot;#,##0;[Red]\-&quot;$&quot;#,##0"/>
    <numFmt numFmtId="168" formatCode="&quot;$&quot;#,##0.00;[Red]\-&quot;$&quot;#,##0.00"/>
    <numFmt numFmtId="169" formatCode="_-* #,##0.00_-;\-* #,##0.00_-;_-* &quot;-&quot;??_-;_-@_-"/>
    <numFmt numFmtId="170" formatCode="0.0%"/>
    <numFmt numFmtId="171" formatCode="#,##0.000"/>
    <numFmt numFmtId="172" formatCode="0.00_)"/>
    <numFmt numFmtId="173" formatCode="d\.m\.yy"/>
    <numFmt numFmtId="174" formatCode="0.0"/>
    <numFmt numFmtId="175" formatCode="0.000%"/>
    <numFmt numFmtId="176" formatCode="#,##0.0"/>
    <numFmt numFmtId="177" formatCode="_-* #,##0.0\ _z_ł_-;\-* #,##0.0\ _z_ł_-;_-* &quot;-&quot;?\ _z_ł_-;_-@_-"/>
    <numFmt numFmtId="178" formatCode="#,##0.00000000"/>
    <numFmt numFmtId="179" formatCode="#,##0.00_ ;\-#,##0.00\ "/>
    <numFmt numFmtId="180" formatCode="#,##0&quot; zł.&quot;;\-#,##0&quot; zł.&quot;"/>
    <numFmt numFmtId="181" formatCode="#,##0&quot; zł.&quot;;[Red]\-#,##0&quot; zł.&quot;"/>
    <numFmt numFmtId="182" formatCode="#,##0.00&quot; zł.&quot;;\-#,##0.00&quot; zł.&quot;"/>
    <numFmt numFmtId="183" formatCode="#,##0.00&quot; zł.&quot;;[Red]\-#,##0.00&quot; zł.&quot;"/>
    <numFmt numFmtId="184" formatCode="_-* #,##0&quot; zł.&quot;_-;\-* #,##0&quot; zł.&quot;_-;_-* &quot;-&quot;&quot; zł.&quot;_-;_-@_-"/>
    <numFmt numFmtId="185" formatCode="_-* #,##0_ _z_ł_._-;\-* #,##0_ _z_ł_._-;_-* &quot;-&quot;_ _z_ł_._-;_-@_-"/>
    <numFmt numFmtId="186" formatCode="_-* #,##0.00&quot; zł.&quot;_-;\-* #,##0.00&quot; zł.&quot;_-;_-* &quot;-&quot;??&quot; zł.&quot;_-;_-@_-"/>
    <numFmt numFmtId="187" formatCode="_-* #,##0.00_ _z_ł_._-;\-* #,##0.00_ _z_ł_._-;_-* &quot;-&quot;??_ _z_ł_._-;_-@_-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#,##0.0000"/>
    <numFmt numFmtId="195" formatCode="#,##0.00000"/>
    <numFmt numFmtId="196" formatCode="#,##0.000000"/>
    <numFmt numFmtId="197" formatCode="#,##0.0000000"/>
    <numFmt numFmtId="198" formatCode="mmm\.yy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b/>
      <i/>
      <sz val="16"/>
      <name val="Helv"/>
      <family val="0"/>
    </font>
    <font>
      <sz val="10"/>
      <name val="Times New Roman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0"/>
      <name val="Times New Roman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i/>
      <sz val="8"/>
      <color indexed="10"/>
      <name val="Arial CE"/>
      <family val="2"/>
    </font>
    <font>
      <i/>
      <sz val="10"/>
      <color indexed="10"/>
      <name val="Arial CE"/>
      <family val="2"/>
    </font>
    <font>
      <b/>
      <i/>
      <sz val="8"/>
      <name val="Arial CE"/>
      <family val="2"/>
    </font>
    <font>
      <b/>
      <u val="single"/>
      <sz val="8"/>
      <name val="Arial CE"/>
      <family val="2"/>
    </font>
    <font>
      <b/>
      <sz val="10"/>
      <color indexed="10"/>
      <name val="Times New Roman CE"/>
      <family val="1"/>
    </font>
    <font>
      <sz val="10"/>
      <color indexed="17"/>
      <name val="Arial CE"/>
      <family val="2"/>
    </font>
    <font>
      <i/>
      <sz val="10"/>
      <color indexed="17"/>
      <name val="Arial CE"/>
      <family val="2"/>
    </font>
    <font>
      <b/>
      <sz val="10"/>
      <color indexed="8"/>
      <name val="Times New Roman CE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10" fontId="4" fillId="3" borderId="1" applyNumberFormat="0" applyBorder="0" applyAlignment="0" applyProtection="0"/>
    <xf numFmtId="172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3" fontId="0" fillId="0" borderId="0">
      <alignment horizontal="left"/>
      <protection/>
    </xf>
    <xf numFmtId="10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70" fontId="13" fillId="0" borderId="0" xfId="25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4" borderId="0" xfId="0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4" fontId="10" fillId="0" borderId="4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0" fillId="0" borderId="8" xfId="0" applyFont="1" applyBorder="1" applyAlignment="1">
      <alignment/>
    </xf>
    <xf numFmtId="4" fontId="10" fillId="0" borderId="11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1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0" fontId="11" fillId="0" borderId="19" xfId="0" applyFont="1" applyBorder="1" applyAlignment="1">
      <alignment horizontal="center"/>
    </xf>
    <xf numFmtId="4" fontId="1" fillId="0" borderId="2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4" fontId="1" fillId="0" borderId="10" xfId="0" applyNumberFormat="1" applyFont="1" applyFill="1" applyBorder="1" applyAlignment="1">
      <alignment/>
    </xf>
    <xf numFmtId="0" fontId="11" fillId="0" borderId="19" xfId="0" applyFont="1" applyBorder="1" applyAlignment="1">
      <alignment horizontal="left"/>
    </xf>
    <xf numFmtId="4" fontId="1" fillId="0" borderId="21" xfId="0" applyNumberFormat="1" applyFont="1" applyFill="1" applyBorder="1" applyAlignment="1">
      <alignment/>
    </xf>
    <xf numFmtId="0" fontId="11" fillId="0" borderId="14" xfId="0" applyFont="1" applyBorder="1" applyAlignment="1" quotePrefix="1">
      <alignment horizontal="left"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1" fillId="0" borderId="8" xfId="0" applyFont="1" applyBorder="1" applyAlignment="1" quotePrefix="1">
      <alignment horizontal="left"/>
    </xf>
    <xf numFmtId="4" fontId="1" fillId="0" borderId="17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0" fontId="10" fillId="5" borderId="0" xfId="0" applyFont="1" applyFill="1" applyAlignment="1">
      <alignment/>
    </xf>
    <xf numFmtId="0" fontId="1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11" fillId="0" borderId="26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1" fillId="6" borderId="27" xfId="0" applyFont="1" applyFill="1" applyBorder="1" applyAlignment="1" quotePrefix="1">
      <alignment horizontal="center" vertical="center"/>
    </xf>
    <xf numFmtId="0" fontId="11" fillId="6" borderId="28" xfId="0" applyFont="1" applyFill="1" applyBorder="1" applyAlignment="1">
      <alignment horizontal="left" vertical="center"/>
    </xf>
    <xf numFmtId="4" fontId="1" fillId="6" borderId="29" xfId="0" applyNumberFormat="1" applyFont="1" applyFill="1" applyBorder="1" applyAlignment="1">
      <alignment vertical="center"/>
    </xf>
    <xf numFmtId="4" fontId="1" fillId="6" borderId="30" xfId="0" applyNumberFormat="1" applyFont="1" applyFill="1" applyBorder="1" applyAlignment="1">
      <alignment vertical="center"/>
    </xf>
    <xf numFmtId="4" fontId="1" fillId="6" borderId="31" xfId="0" applyNumberFormat="1" applyFont="1" applyFill="1" applyBorder="1" applyAlignment="1">
      <alignment vertical="center"/>
    </xf>
    <xf numFmtId="0" fontId="10" fillId="0" borderId="32" xfId="0" applyFont="1" applyBorder="1" applyAlignment="1" quotePrefix="1">
      <alignment horizontal="center" vertical="center"/>
    </xf>
    <xf numFmtId="0" fontId="10" fillId="0" borderId="33" xfId="0" applyFont="1" applyBorder="1" applyAlignment="1">
      <alignment horizontal="left" vertical="center"/>
    </xf>
    <xf numFmtId="4" fontId="0" fillId="0" borderId="34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33" xfId="0" applyNumberFormat="1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5" xfId="0" applyFont="1" applyBorder="1" applyAlignment="1" quotePrefix="1">
      <alignment horizontal="center" vertical="center"/>
    </xf>
    <xf numFmtId="0" fontId="10" fillId="0" borderId="36" xfId="0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4" fontId="0" fillId="0" borderId="36" xfId="0" applyNumberFormat="1" applyFont="1" applyBorder="1" applyAlignment="1">
      <alignment vertical="center"/>
    </xf>
    <xf numFmtId="4" fontId="0" fillId="0" borderId="37" xfId="0" applyNumberFormat="1" applyFont="1" applyBorder="1" applyAlignment="1">
      <alignment vertical="center"/>
    </xf>
    <xf numFmtId="0" fontId="10" fillId="0" borderId="7" xfId="0" applyFont="1" applyBorder="1" applyAlignment="1" quotePrefix="1">
      <alignment horizontal="center" vertical="center"/>
    </xf>
    <xf numFmtId="0" fontId="10" fillId="0" borderId="8" xfId="0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0" fontId="16" fillId="5" borderId="0" xfId="0" applyFont="1" applyFill="1" applyAlignment="1">
      <alignment/>
    </xf>
    <xf numFmtId="0" fontId="16" fillId="0" borderId="27" xfId="0" applyFont="1" applyBorder="1" applyAlignment="1" quotePrefix="1">
      <alignment horizontal="center" vertical="center"/>
    </xf>
    <xf numFmtId="0" fontId="16" fillId="0" borderId="28" xfId="0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1" fillId="6" borderId="32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left" vertical="center" wrapText="1"/>
    </xf>
    <xf numFmtId="4" fontId="1" fillId="6" borderId="34" xfId="0" applyNumberFormat="1" applyFont="1" applyFill="1" applyBorder="1" applyAlignment="1">
      <alignment vertical="center"/>
    </xf>
    <xf numFmtId="4" fontId="1" fillId="6" borderId="1" xfId="0" applyNumberFormat="1" applyFont="1" applyFill="1" applyBorder="1" applyAlignment="1">
      <alignment vertical="center"/>
    </xf>
    <xf numFmtId="4" fontId="1" fillId="6" borderId="38" xfId="0" applyNumberFormat="1" applyFont="1" applyFill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1" fillId="6" borderId="33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4" fontId="2" fillId="0" borderId="30" xfId="0" applyNumberFormat="1" applyFont="1" applyFill="1" applyBorder="1" applyAlignment="1">
      <alignment vertical="center"/>
    </xf>
    <xf numFmtId="4" fontId="0" fillId="0" borderId="29" xfId="0" applyNumberFormat="1" applyFont="1" applyBorder="1" applyAlignment="1">
      <alignment vertical="center"/>
    </xf>
    <xf numFmtId="4" fontId="0" fillId="0" borderId="30" xfId="0" applyNumberFormat="1" applyFont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0" fillId="5" borderId="0" xfId="0" applyFont="1" applyFill="1" applyBorder="1" applyAlignment="1">
      <alignment/>
    </xf>
    <xf numFmtId="0" fontId="16" fillId="0" borderId="8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4" fontId="2" fillId="0" borderId="39" xfId="0" applyNumberFormat="1" applyFont="1" applyFill="1" applyBorder="1" applyAlignment="1">
      <alignment vertical="center"/>
    </xf>
    <xf numFmtId="4" fontId="0" fillId="0" borderId="39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4" fontId="2" fillId="7" borderId="10" xfId="0" applyNumberFormat="1" applyFont="1" applyFill="1" applyBorder="1" applyAlignment="1">
      <alignment vertical="center"/>
    </xf>
    <xf numFmtId="0" fontId="16" fillId="0" borderId="28" xfId="0" applyFont="1" applyBorder="1" applyAlignment="1">
      <alignment horizontal="left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vertical="center"/>
    </xf>
    <xf numFmtId="4" fontId="1" fillId="6" borderId="39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38" xfId="0" applyNumberFormat="1" applyFont="1" applyFill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4" fontId="0" fillId="0" borderId="29" xfId="0" applyNumberFormat="1" applyFont="1" applyFill="1" applyBorder="1" applyAlignment="1">
      <alignment vertical="center"/>
    </xf>
    <xf numFmtId="4" fontId="0" fillId="0" borderId="30" xfId="0" applyNumberFormat="1" applyFont="1" applyFill="1" applyBorder="1" applyAlignment="1">
      <alignment vertical="center"/>
    </xf>
    <xf numFmtId="4" fontId="0" fillId="0" borderId="28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0" fontId="16" fillId="5" borderId="0" xfId="0" applyFont="1" applyFill="1" applyBorder="1" applyAlignment="1">
      <alignment/>
    </xf>
    <xf numFmtId="4" fontId="2" fillId="0" borderId="28" xfId="0" applyNumberFormat="1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0" fillId="5" borderId="40" xfId="0" applyFont="1" applyFill="1" applyBorder="1" applyAlignment="1">
      <alignment/>
    </xf>
    <xf numFmtId="0" fontId="11" fillId="6" borderId="33" xfId="0" applyFont="1" applyFill="1" applyBorder="1" applyAlignment="1">
      <alignment vertical="center"/>
    </xf>
    <xf numFmtId="4" fontId="0" fillId="0" borderId="39" xfId="0" applyNumberFormat="1" applyFont="1" applyFill="1" applyBorder="1" applyAlignment="1">
      <alignment vertical="center"/>
    </xf>
    <xf numFmtId="4" fontId="0" fillId="0" borderId="32" xfId="0" applyNumberFormat="1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4" fontId="0" fillId="0" borderId="43" xfId="0" applyNumberFormat="1" applyFont="1" applyBorder="1" applyAlignment="1">
      <alignment vertical="center"/>
    </xf>
    <xf numFmtId="4" fontId="0" fillId="0" borderId="44" xfId="0" applyNumberFormat="1" applyFont="1" applyFill="1" applyBorder="1" applyAlignment="1">
      <alignment vertical="center"/>
    </xf>
    <xf numFmtId="4" fontId="0" fillId="0" borderId="42" xfId="0" applyNumberFormat="1" applyFont="1" applyFill="1" applyBorder="1" applyAlignment="1">
      <alignment vertical="center"/>
    </xf>
    <xf numFmtId="0" fontId="10" fillId="0" borderId="28" xfId="0" applyFont="1" applyBorder="1" applyAlignment="1">
      <alignment vertical="center" wrapText="1"/>
    </xf>
    <xf numFmtId="4" fontId="1" fillId="6" borderId="28" xfId="0" applyNumberFormat="1" applyFont="1" applyFill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4" fontId="0" fillId="0" borderId="45" xfId="0" applyNumberFormat="1" applyFont="1" applyBorder="1" applyAlignment="1">
      <alignment vertical="center"/>
    </xf>
    <xf numFmtId="4" fontId="16" fillId="0" borderId="0" xfId="0" applyNumberFormat="1" applyFont="1" applyAlignment="1">
      <alignment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 wrapText="1"/>
    </xf>
    <xf numFmtId="4" fontId="0" fillId="0" borderId="34" xfId="0" applyNumberFormat="1" applyFont="1" applyFill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/>
    </xf>
    <xf numFmtId="4" fontId="2" fillId="0" borderId="34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38" xfId="0" applyNumberFormat="1" applyFont="1" applyFill="1" applyBorder="1" applyAlignment="1">
      <alignment vertical="center"/>
    </xf>
    <xf numFmtId="4" fontId="1" fillId="6" borderId="33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Fill="1" applyBorder="1" applyAlignment="1">
      <alignment horizontal="left" vertical="center" wrapText="1"/>
    </xf>
    <xf numFmtId="4" fontId="2" fillId="0" borderId="43" xfId="0" applyNumberFormat="1" applyFont="1" applyFill="1" applyBorder="1" applyAlignment="1">
      <alignment vertical="center"/>
    </xf>
    <xf numFmtId="4" fontId="2" fillId="0" borderId="44" xfId="0" applyNumberFormat="1" applyFont="1" applyFill="1" applyBorder="1" applyAlignment="1">
      <alignment vertical="center"/>
    </xf>
    <xf numFmtId="4" fontId="2" fillId="0" borderId="46" xfId="0" applyNumberFormat="1" applyFont="1" applyFill="1" applyBorder="1" applyAlignment="1">
      <alignment vertical="center"/>
    </xf>
    <xf numFmtId="4" fontId="0" fillId="0" borderId="33" xfId="0" applyNumberFormat="1" applyFont="1" applyFill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8" xfId="0" applyFont="1" applyBorder="1" applyAlignment="1" quotePrefix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0" fontId="11" fillId="6" borderId="33" xfId="0" applyFont="1" applyFill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4" fontId="0" fillId="0" borderId="3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 wrapText="1"/>
    </xf>
    <xf numFmtId="4" fontId="2" fillId="0" borderId="30" xfId="0" applyNumberFormat="1" applyFont="1" applyBorder="1" applyAlignment="1">
      <alignment vertical="center" wrapText="1"/>
    </xf>
    <xf numFmtId="4" fontId="2" fillId="0" borderId="39" xfId="0" applyNumberFormat="1" applyFont="1" applyBorder="1" applyAlignment="1">
      <alignment vertical="center" wrapText="1"/>
    </xf>
    <xf numFmtId="0" fontId="17" fillId="5" borderId="0" xfId="0" applyFont="1" applyFill="1" applyAlignment="1">
      <alignment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4" fontId="18" fillId="0" borderId="17" xfId="0" applyNumberFormat="1" applyFont="1" applyBorder="1" applyAlignment="1">
      <alignment vertical="center"/>
    </xf>
    <xf numFmtId="4" fontId="18" fillId="0" borderId="11" xfId="0" applyNumberFormat="1" applyFont="1" applyBorder="1" applyAlignment="1">
      <alignment vertical="center"/>
    </xf>
    <xf numFmtId="4" fontId="18" fillId="0" borderId="8" xfId="0" applyNumberFormat="1" applyFont="1" applyBorder="1" applyAlignment="1">
      <alignment vertical="center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1" fillId="6" borderId="28" xfId="0" applyFont="1" applyFill="1" applyBorder="1" applyAlignment="1">
      <alignment horizontal="left" vertical="center" wrapText="1"/>
    </xf>
    <xf numFmtId="0" fontId="10" fillId="5" borderId="0" xfId="0" applyFont="1" applyFill="1" applyAlignment="1">
      <alignment/>
    </xf>
    <xf numFmtId="4" fontId="0" fillId="0" borderId="34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3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10" xfId="0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9" fillId="5" borderId="0" xfId="0" applyFont="1" applyFill="1" applyAlignment="1">
      <alignment/>
    </xf>
    <xf numFmtId="0" fontId="19" fillId="0" borderId="0" xfId="0" applyFont="1" applyAlignment="1">
      <alignment/>
    </xf>
    <xf numFmtId="0" fontId="10" fillId="0" borderId="8" xfId="0" applyFont="1" applyBorder="1" applyAlignment="1">
      <alignment vertical="center" wrapText="1"/>
    </xf>
    <xf numFmtId="0" fontId="16" fillId="0" borderId="47" xfId="0" applyFont="1" applyBorder="1" applyAlignment="1">
      <alignment horizontal="center" vertical="center"/>
    </xf>
    <xf numFmtId="0" fontId="16" fillId="5" borderId="0" xfId="0" applyFont="1" applyFill="1" applyAlignment="1">
      <alignment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4" fontId="2" fillId="0" borderId="39" xfId="0" applyNumberFormat="1" applyFont="1" applyBorder="1" applyAlignment="1">
      <alignment vertical="center"/>
    </xf>
    <xf numFmtId="0" fontId="10" fillId="0" borderId="28" xfId="0" applyFont="1" applyBorder="1" applyAlignment="1">
      <alignment horizontal="left" vertical="center"/>
    </xf>
    <xf numFmtId="0" fontId="10" fillId="5" borderId="0" xfId="0" applyFont="1" applyFill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wrapText="1"/>
    </xf>
    <xf numFmtId="4" fontId="0" fillId="0" borderId="17" xfId="0" applyNumberFormat="1" applyFont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16" fillId="5" borderId="0" xfId="0" applyFont="1" applyFill="1" applyAlignment="1">
      <alignment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10" fillId="5" borderId="0" xfId="0" applyFont="1" applyFill="1" applyBorder="1" applyAlignment="1">
      <alignment wrapText="1"/>
    </xf>
    <xf numFmtId="0" fontId="10" fillId="0" borderId="27" xfId="0" applyFont="1" applyBorder="1" applyAlignment="1">
      <alignment horizontal="center" vertical="center" wrapText="1"/>
    </xf>
    <xf numFmtId="0" fontId="10" fillId="0" borderId="39" xfId="0" applyFont="1" applyBorder="1" applyAlignment="1">
      <alignment vertical="center" wrapText="1"/>
    </xf>
    <xf numFmtId="4" fontId="0" fillId="0" borderId="29" xfId="0" applyNumberFormat="1" applyFont="1" applyBorder="1" applyAlignment="1">
      <alignment vertical="center" wrapText="1"/>
    </xf>
    <xf numFmtId="4" fontId="0" fillId="0" borderId="30" xfId="0" applyNumberFormat="1" applyFont="1" applyBorder="1" applyAlignment="1">
      <alignment vertical="center" wrapText="1"/>
    </xf>
    <xf numFmtId="4" fontId="0" fillId="0" borderId="39" xfId="0" applyNumberFormat="1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4" fontId="0" fillId="0" borderId="37" xfId="0" applyNumberFormat="1" applyFont="1" applyFill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vertical="center"/>
    </xf>
    <xf numFmtId="4" fontId="0" fillId="0" borderId="46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40" xfId="0" applyFont="1" applyFill="1" applyBorder="1" applyAlignment="1">
      <alignment/>
    </xf>
    <xf numFmtId="0" fontId="10" fillId="0" borderId="8" xfId="0" applyFont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17" fillId="0" borderId="33" xfId="0" applyFont="1" applyFill="1" applyBorder="1" applyAlignment="1">
      <alignment vertical="center"/>
    </xf>
    <xf numFmtId="4" fontId="18" fillId="0" borderId="34" xfId="0" applyNumberFormat="1" applyFont="1" applyBorder="1" applyAlignment="1">
      <alignment vertical="center"/>
    </xf>
    <xf numFmtId="4" fontId="18" fillId="0" borderId="30" xfId="0" applyNumberFormat="1" applyFont="1" applyFill="1" applyBorder="1" applyAlignment="1">
      <alignment vertical="center"/>
    </xf>
    <xf numFmtId="4" fontId="18" fillId="0" borderId="33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16" fillId="0" borderId="0" xfId="0" applyFont="1" applyFill="1" applyAlignment="1">
      <alignment/>
    </xf>
    <xf numFmtId="4" fontId="0" fillId="0" borderId="37" xfId="0" applyNumberFormat="1" applyFont="1" applyBorder="1" applyAlignment="1">
      <alignment horizontal="right" vertical="center"/>
    </xf>
    <xf numFmtId="4" fontId="0" fillId="0" borderId="9" xfId="0" applyNumberFormat="1" applyFont="1" applyBorder="1" applyAlignment="1">
      <alignment horizontal="right" vertical="center"/>
    </xf>
    <xf numFmtId="4" fontId="0" fillId="0" borderId="45" xfId="0" applyNumberFormat="1" applyFont="1" applyBorder="1" applyAlignment="1">
      <alignment horizontal="right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4" fontId="2" fillId="0" borderId="45" xfId="0" applyNumberFormat="1" applyFont="1" applyFill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0" fontId="10" fillId="0" borderId="33" xfId="0" applyFont="1" applyFill="1" applyBorder="1" applyAlignment="1">
      <alignment horizontal="left" vertical="center"/>
    </xf>
    <xf numFmtId="4" fontId="0" fillId="0" borderId="35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2" fillId="0" borderId="33" xfId="0" applyNumberFormat="1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48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4" fontId="0" fillId="0" borderId="9" xfId="0" applyNumberFormat="1" applyFont="1" applyFill="1" applyBorder="1" applyAlignment="1">
      <alignment vertical="center"/>
    </xf>
    <xf numFmtId="4" fontId="0" fillId="0" borderId="36" xfId="0" applyNumberFormat="1" applyFont="1" applyFill="1" applyBorder="1" applyAlignment="1">
      <alignment vertical="center"/>
    </xf>
    <xf numFmtId="0" fontId="16" fillId="0" borderId="33" xfId="0" applyFont="1" applyBorder="1" applyAlignment="1">
      <alignment horizontal="left" vertical="center"/>
    </xf>
    <xf numFmtId="4" fontId="0" fillId="0" borderId="42" xfId="0" applyNumberFormat="1" applyFont="1" applyBorder="1" applyAlignment="1">
      <alignment vertical="center"/>
    </xf>
    <xf numFmtId="0" fontId="10" fillId="0" borderId="28" xfId="0" applyFont="1" applyFill="1" applyBorder="1" applyAlignment="1">
      <alignment horizontal="left" vertical="center"/>
    </xf>
    <xf numFmtId="4" fontId="2" fillId="0" borderId="33" xfId="0" applyNumberFormat="1" applyFont="1" applyBorder="1" applyAlignment="1">
      <alignment vertical="center"/>
    </xf>
    <xf numFmtId="4" fontId="2" fillId="0" borderId="29" xfId="0" applyNumberFormat="1" applyFont="1" applyFill="1" applyBorder="1" applyAlignment="1">
      <alignment vertical="center"/>
    </xf>
    <xf numFmtId="0" fontId="10" fillId="0" borderId="36" xfId="0" applyFont="1" applyBorder="1" applyAlignment="1">
      <alignment horizontal="left" vertical="center"/>
    </xf>
    <xf numFmtId="0" fontId="10" fillId="0" borderId="39" xfId="0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left" vertical="center"/>
    </xf>
    <xf numFmtId="4" fontId="20" fillId="0" borderId="29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4" fontId="20" fillId="0" borderId="28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4" fontId="2" fillId="0" borderId="51" xfId="0" applyNumberFormat="1" applyFont="1" applyBorder="1" applyAlignment="1">
      <alignment vertical="center"/>
    </xf>
    <xf numFmtId="4" fontId="2" fillId="0" borderId="52" xfId="0" applyNumberFormat="1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4" fontId="1" fillId="6" borderId="27" xfId="0" applyNumberFormat="1" applyFont="1" applyFill="1" applyBorder="1" applyAlignment="1">
      <alignment horizontal="right" vertical="center"/>
    </xf>
    <xf numFmtId="4" fontId="1" fillId="6" borderId="30" xfId="0" applyNumberFormat="1" applyFont="1" applyFill="1" applyBorder="1" applyAlignment="1">
      <alignment horizontal="right" vertical="center"/>
    </xf>
    <xf numFmtId="4" fontId="1" fillId="6" borderId="28" xfId="0" applyNumberFormat="1" applyFont="1" applyFill="1" applyBorder="1" applyAlignment="1">
      <alignment horizontal="right" vertical="center"/>
    </xf>
    <xf numFmtId="0" fontId="16" fillId="0" borderId="28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4" fontId="0" fillId="0" borderId="7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53" xfId="0" applyNumberFormat="1" applyFont="1" applyBorder="1" applyAlignment="1">
      <alignment vertical="center"/>
    </xf>
    <xf numFmtId="0" fontId="10" fillId="8" borderId="0" xfId="0" applyFont="1" applyFill="1" applyAlignment="1">
      <alignment/>
    </xf>
    <xf numFmtId="0" fontId="1" fillId="0" borderId="24" xfId="0" applyFont="1" applyFill="1" applyBorder="1" applyAlignment="1">
      <alignment vertical="center"/>
    </xf>
    <xf numFmtId="4" fontId="1" fillId="0" borderId="54" xfId="0" applyNumberFormat="1" applyFont="1" applyFill="1" applyBorder="1" applyAlignment="1">
      <alignment vertical="center"/>
    </xf>
    <xf numFmtId="4" fontId="1" fillId="0" borderId="55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0" fontId="21" fillId="8" borderId="0" xfId="0" applyFont="1" applyFill="1" applyAlignment="1">
      <alignment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10" fillId="0" borderId="26" xfId="0" applyFont="1" applyBorder="1" applyAlignment="1">
      <alignment horizontal="center" vertical="center"/>
    </xf>
    <xf numFmtId="0" fontId="11" fillId="6" borderId="8" xfId="0" applyFont="1" applyFill="1" applyBorder="1" applyAlignment="1">
      <alignment horizontal="left" vertical="center" wrapText="1"/>
    </xf>
    <xf numFmtId="4" fontId="1" fillId="6" borderId="32" xfId="0" applyNumberFormat="1" applyFont="1" applyFill="1" applyBorder="1" applyAlignment="1">
      <alignment horizontal="right" vertical="center"/>
    </xf>
    <xf numFmtId="4" fontId="1" fillId="6" borderId="1" xfId="0" applyNumberFormat="1" applyFont="1" applyFill="1" applyBorder="1" applyAlignment="1">
      <alignment horizontal="right" vertical="center"/>
    </xf>
    <xf numFmtId="4" fontId="1" fillId="6" borderId="33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 horizontal="right" vertical="center"/>
    </xf>
    <xf numFmtId="0" fontId="10" fillId="0" borderId="33" xfId="0" applyFont="1" applyBorder="1" applyAlignment="1">
      <alignment horizontal="justify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vertical="center"/>
    </xf>
    <xf numFmtId="4" fontId="1" fillId="6" borderId="17" xfId="0" applyNumberFormat="1" applyFont="1" applyFill="1" applyBorder="1" applyAlignment="1">
      <alignment vertical="center"/>
    </xf>
    <xf numFmtId="4" fontId="1" fillId="6" borderId="11" xfId="0" applyNumberFormat="1" applyFont="1" applyFill="1" applyBorder="1" applyAlignment="1">
      <alignment vertical="center"/>
    </xf>
    <xf numFmtId="4" fontId="1" fillId="6" borderId="8" xfId="0" applyNumberFormat="1" applyFont="1" applyFill="1" applyBorder="1" applyAlignment="1">
      <alignment vertical="center"/>
    </xf>
    <xf numFmtId="0" fontId="21" fillId="0" borderId="8" xfId="0" applyFont="1" applyBorder="1" applyAlignment="1">
      <alignment vertical="center" wrapText="1"/>
    </xf>
    <xf numFmtId="0" fontId="10" fillId="8" borderId="56" xfId="0" applyFont="1" applyFill="1" applyBorder="1" applyAlignment="1">
      <alignment/>
    </xf>
    <xf numFmtId="0" fontId="10" fillId="0" borderId="56" xfId="0" applyFont="1" applyBorder="1" applyAlignment="1">
      <alignment/>
    </xf>
    <xf numFmtId="0" fontId="1" fillId="0" borderId="8" xfId="0" applyFont="1" applyBorder="1" applyAlignment="1">
      <alignment horizontal="left" vertical="center"/>
    </xf>
    <xf numFmtId="4" fontId="1" fillId="0" borderId="14" xfId="0" applyNumberFormat="1" applyFont="1" applyBorder="1" applyAlignment="1">
      <alignment/>
    </xf>
    <xf numFmtId="0" fontId="10" fillId="9" borderId="0" xfId="0" applyFont="1" applyFill="1" applyAlignment="1">
      <alignment/>
    </xf>
    <xf numFmtId="0" fontId="11" fillId="0" borderId="2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" fontId="1" fillId="0" borderId="19" xfId="0" applyNumberFormat="1" applyFont="1" applyFill="1" applyBorder="1" applyAlignment="1">
      <alignment vertical="center"/>
    </xf>
    <xf numFmtId="0" fontId="11" fillId="6" borderId="32" xfId="0" applyFont="1" applyFill="1" applyBorder="1" applyAlignment="1" quotePrefix="1">
      <alignment horizontal="center" vertical="center"/>
    </xf>
    <xf numFmtId="4" fontId="1" fillId="6" borderId="34" xfId="0" applyNumberFormat="1" applyFont="1" applyFill="1" applyBorder="1" applyAlignment="1">
      <alignment horizontal="right" vertical="center"/>
    </xf>
    <xf numFmtId="4" fontId="1" fillId="6" borderId="38" xfId="0" applyNumberFormat="1" applyFont="1" applyFill="1" applyBorder="1" applyAlignment="1">
      <alignment horizontal="right" vertical="center"/>
    </xf>
    <xf numFmtId="0" fontId="10" fillId="0" borderId="27" xfId="0" applyFont="1" applyBorder="1" applyAlignment="1" quotePrefix="1">
      <alignment horizontal="center" vertical="center"/>
    </xf>
    <xf numFmtId="4" fontId="0" fillId="0" borderId="35" xfId="0" applyNumberFormat="1" applyFont="1" applyFill="1" applyBorder="1" applyAlignment="1">
      <alignment vertical="center"/>
    </xf>
    <xf numFmtId="4" fontId="0" fillId="0" borderId="45" xfId="0" applyNumberFormat="1" applyFont="1" applyFill="1" applyBorder="1" applyAlignment="1">
      <alignment vertical="center"/>
    </xf>
    <xf numFmtId="0" fontId="16" fillId="9" borderId="0" xfId="0" applyFont="1" applyFill="1" applyAlignment="1">
      <alignment/>
    </xf>
    <xf numFmtId="0" fontId="16" fillId="0" borderId="7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0" fillId="0" borderId="8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0" fontId="10" fillId="9" borderId="57" xfId="0" applyFont="1" applyFill="1" applyBorder="1" applyAlignment="1">
      <alignment/>
    </xf>
    <xf numFmtId="0" fontId="16" fillId="9" borderId="0" xfId="0" applyFont="1" applyFill="1" applyBorder="1" applyAlignment="1">
      <alignment/>
    </xf>
    <xf numFmtId="0" fontId="10" fillId="9" borderId="0" xfId="0" applyFont="1" applyFill="1" applyBorder="1" applyAlignment="1">
      <alignment/>
    </xf>
    <xf numFmtId="0" fontId="10" fillId="9" borderId="58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58" xfId="0" applyFont="1" applyBorder="1" applyAlignment="1">
      <alignment/>
    </xf>
    <xf numFmtId="0" fontId="16" fillId="0" borderId="40" xfId="0" applyFont="1" applyBorder="1" applyAlignment="1">
      <alignment/>
    </xf>
    <xf numFmtId="4" fontId="2" fillId="0" borderId="45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4" fontId="0" fillId="0" borderId="17" xfId="0" applyNumberFormat="1" applyFont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" fontId="0" fillId="0" borderId="46" xfId="0" applyNumberFormat="1" applyFont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vertical="center"/>
    </xf>
    <xf numFmtId="0" fontId="10" fillId="10" borderId="0" xfId="0" applyFont="1" applyFill="1" applyAlignment="1">
      <alignment/>
    </xf>
    <xf numFmtId="0" fontId="1" fillId="0" borderId="8" xfId="0" applyFont="1" applyFill="1" applyBorder="1" applyAlignment="1">
      <alignment/>
    </xf>
    <xf numFmtId="4" fontId="0" fillId="0" borderId="24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21" fillId="10" borderId="0" xfId="0" applyFont="1" applyFill="1" applyAlignment="1">
      <alignment/>
    </xf>
    <xf numFmtId="0" fontId="10" fillId="0" borderId="26" xfId="0" applyFont="1" applyFill="1" applyBorder="1" applyAlignment="1">
      <alignment horizontal="center" vertical="center"/>
    </xf>
    <xf numFmtId="4" fontId="1" fillId="6" borderId="59" xfId="0" applyNumberFormat="1" applyFont="1" applyFill="1" applyBorder="1" applyAlignment="1">
      <alignment vertical="center"/>
    </xf>
    <xf numFmtId="4" fontId="0" fillId="0" borderId="32" xfId="0" applyNumberFormat="1" applyFont="1" applyFill="1" applyBorder="1" applyAlignment="1">
      <alignment vertical="center"/>
    </xf>
    <xf numFmtId="0" fontId="21" fillId="0" borderId="8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6" fillId="0" borderId="0" xfId="0" applyNumberFormat="1" applyFont="1" applyFill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176" fontId="16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6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22" fillId="0" borderId="0" xfId="0" applyNumberFormat="1" applyFont="1" applyAlignment="1">
      <alignment/>
    </xf>
    <xf numFmtId="170" fontId="23" fillId="0" borderId="0" xfId="25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16" fillId="9" borderId="0" xfId="0" applyFont="1" applyFill="1" applyAlignment="1">
      <alignment/>
    </xf>
    <xf numFmtId="4" fontId="2" fillId="0" borderId="17" xfId="0" applyNumberFormat="1" applyFont="1" applyFill="1" applyBorder="1" applyAlignment="1">
      <alignment vertical="center"/>
    </xf>
    <xf numFmtId="4" fontId="0" fillId="0" borderId="34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38" xfId="0" applyNumberFormat="1" applyFont="1" applyBorder="1" applyAlignment="1">
      <alignment horizontal="right" vertical="center"/>
    </xf>
    <xf numFmtId="4" fontId="24" fillId="0" borderId="11" xfId="0" applyNumberFormat="1" applyFont="1" applyBorder="1" applyAlignment="1">
      <alignment vertical="center"/>
    </xf>
    <xf numFmtId="4" fontId="25" fillId="0" borderId="11" xfId="0" applyNumberFormat="1" applyFont="1" applyBorder="1" applyAlignment="1">
      <alignment vertical="center"/>
    </xf>
    <xf numFmtId="4" fontId="24" fillId="0" borderId="9" xfId="0" applyNumberFormat="1" applyFont="1" applyBorder="1" applyAlignment="1">
      <alignment vertical="center"/>
    </xf>
    <xf numFmtId="4" fontId="25" fillId="0" borderId="11" xfId="0" applyNumberFormat="1" applyFont="1" applyFill="1" applyBorder="1" applyAlignment="1">
      <alignment vertical="center"/>
    </xf>
    <xf numFmtId="4" fontId="25" fillId="0" borderId="11" xfId="0" applyNumberFormat="1" applyFont="1" applyFill="1" applyBorder="1" applyAlignment="1">
      <alignment vertical="center"/>
    </xf>
    <xf numFmtId="4" fontId="24" fillId="0" borderId="11" xfId="0" applyNumberFormat="1" applyFont="1" applyFill="1" applyBorder="1" applyAlignment="1">
      <alignment vertical="center"/>
    </xf>
    <xf numFmtId="4" fontId="24" fillId="0" borderId="11" xfId="0" applyNumberFormat="1" applyFont="1" applyBorder="1" applyAlignment="1">
      <alignment horizontal="right" vertical="center"/>
    </xf>
    <xf numFmtId="4" fontId="25" fillId="0" borderId="10" xfId="0" applyNumberFormat="1" applyFont="1" applyFill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170" fontId="26" fillId="0" borderId="0" xfId="25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10" fillId="0" borderId="28" xfId="0" applyFont="1" applyBorder="1" applyAlignment="1">
      <alignment horizontal="justify" vertical="center"/>
    </xf>
    <xf numFmtId="0" fontId="10" fillId="9" borderId="40" xfId="0" applyFont="1" applyFill="1" applyBorder="1" applyAlignment="1">
      <alignment/>
    </xf>
    <xf numFmtId="0" fontId="10" fillId="0" borderId="40" xfId="0" applyFont="1" applyBorder="1" applyAlignment="1">
      <alignment/>
    </xf>
    <xf numFmtId="0" fontId="10" fillId="0" borderId="47" xfId="0" applyFont="1" applyBorder="1" applyAlignment="1">
      <alignment horizontal="center" vertical="center" wrapText="1"/>
    </xf>
    <xf numFmtId="0" fontId="16" fillId="0" borderId="50" xfId="0" applyFont="1" applyBorder="1" applyAlignment="1">
      <alignment vertical="center" wrapText="1"/>
    </xf>
    <xf numFmtId="4" fontId="2" fillId="0" borderId="51" xfId="0" applyNumberFormat="1" applyFont="1" applyBorder="1" applyAlignment="1">
      <alignment vertical="center" wrapText="1"/>
    </xf>
    <xf numFmtId="4" fontId="2" fillId="0" borderId="52" xfId="0" applyNumberFormat="1" applyFont="1" applyBorder="1" applyAlignment="1">
      <alignment vertical="center" wrapText="1"/>
    </xf>
    <xf numFmtId="4" fontId="2" fillId="0" borderId="60" xfId="0" applyNumberFormat="1" applyFont="1" applyBorder="1" applyAlignment="1">
      <alignment vertical="center" wrapText="1"/>
    </xf>
    <xf numFmtId="4" fontId="2" fillId="0" borderId="60" xfId="0" applyNumberFormat="1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50" xfId="0" applyFont="1" applyBorder="1" applyAlignment="1">
      <alignment vertical="center"/>
    </xf>
    <xf numFmtId="4" fontId="0" fillId="0" borderId="51" xfId="0" applyNumberFormat="1" applyFont="1" applyFill="1" applyBorder="1" applyAlignment="1">
      <alignment vertical="center"/>
    </xf>
    <xf numFmtId="4" fontId="0" fillId="0" borderId="52" xfId="0" applyNumberFormat="1" applyFont="1" applyBorder="1" applyAlignment="1">
      <alignment vertical="center"/>
    </xf>
    <xf numFmtId="4" fontId="0" fillId="0" borderId="60" xfId="0" applyNumberFormat="1" applyFont="1" applyBorder="1" applyAlignment="1">
      <alignment vertical="center"/>
    </xf>
    <xf numFmtId="4" fontId="0" fillId="0" borderId="51" xfId="0" applyNumberFormat="1" applyFont="1" applyBorder="1" applyAlignment="1">
      <alignment vertical="center"/>
    </xf>
    <xf numFmtId="4" fontId="0" fillId="0" borderId="50" xfId="0" applyNumberFormat="1" applyFont="1" applyBorder="1" applyAlignment="1">
      <alignment vertical="center"/>
    </xf>
    <xf numFmtId="4" fontId="0" fillId="0" borderId="44" xfId="0" applyNumberFormat="1" applyFont="1" applyBorder="1" applyAlignment="1">
      <alignment vertical="center"/>
    </xf>
    <xf numFmtId="0" fontId="16" fillId="0" borderId="50" xfId="0" applyFont="1" applyBorder="1" applyAlignment="1">
      <alignment vertical="center"/>
    </xf>
  </cellXfs>
  <cellStyles count="14">
    <cellStyle name="Normal" xfId="0"/>
    <cellStyle name="Comma" xfId="15"/>
    <cellStyle name="Comma [0]" xfId="16"/>
    <cellStyle name="Grey" xfId="17"/>
    <cellStyle name="Hyperlink" xfId="18"/>
    <cellStyle name="Input [yellow]" xfId="19"/>
    <cellStyle name="Normal - Style1" xfId="20"/>
    <cellStyle name="Normal_2KW96" xfId="21"/>
    <cellStyle name="Followed Hyperlink" xfId="22"/>
    <cellStyle name="Option" xfId="23"/>
    <cellStyle name="Percent [2]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PF\WP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21"/>
  <sheetViews>
    <sheetView tabSelected="1" view="pageBreakPreview" zoomScale="85" zoomScaleSheetLayoutView="85" workbookViewId="0" topLeftCell="A13">
      <pane xSplit="21" ySplit="8" topLeftCell="V56" activePane="bottomRight" state="frozen"/>
      <selection pane="topLeft" activeCell="A13" sqref="A13"/>
      <selection pane="topRight" activeCell="V13" sqref="V13"/>
      <selection pane="bottomLeft" activeCell="A21" sqref="A21"/>
      <selection pane="bottomRight" activeCell="Z78" sqref="Z78"/>
    </sheetView>
  </sheetViews>
  <sheetFormatPr defaultColWidth="9.00390625" defaultRowHeight="12.75"/>
  <cols>
    <col min="1" max="1" width="1.12109375" style="24" customWidth="1"/>
    <col min="2" max="2" width="6.625" style="24" customWidth="1"/>
    <col min="3" max="3" width="42.625" style="24" customWidth="1"/>
    <col min="4" max="4" width="17.375" style="24" hidden="1" customWidth="1"/>
    <col min="5" max="5" width="16.875" style="24" hidden="1" customWidth="1"/>
    <col min="6" max="6" width="16.625" style="24" hidden="1" customWidth="1"/>
    <col min="7" max="7" width="17.375" style="24" hidden="1" customWidth="1"/>
    <col min="8" max="8" width="16.875" style="24" hidden="1" customWidth="1"/>
    <col min="9" max="9" width="16.625" style="24" hidden="1" customWidth="1"/>
    <col min="10" max="10" width="17.375" style="24" hidden="1" customWidth="1"/>
    <col min="11" max="11" width="16.875" style="24" hidden="1" customWidth="1"/>
    <col min="12" max="12" width="16.625" style="24" hidden="1" customWidth="1"/>
    <col min="13" max="13" width="17.375" style="24" hidden="1" customWidth="1"/>
    <col min="14" max="14" width="16.875" style="24" hidden="1" customWidth="1"/>
    <col min="15" max="15" width="16.625" style="24" hidden="1" customWidth="1"/>
    <col min="16" max="16" width="15.875" style="24" hidden="1" customWidth="1"/>
    <col min="17" max="17" width="15.625" style="24" hidden="1" customWidth="1"/>
    <col min="18" max="18" width="14.75390625" style="24" hidden="1" customWidth="1"/>
    <col min="19" max="19" width="13.625" style="24" hidden="1" customWidth="1"/>
    <col min="20" max="21" width="13.75390625" style="24" hidden="1" customWidth="1"/>
    <col min="22" max="22" width="15.625" style="24" customWidth="1"/>
    <col min="23" max="23" width="15.25390625" style="24" customWidth="1"/>
    <col min="24" max="24" width="13.875" style="24" customWidth="1"/>
    <col min="25" max="25" width="13.625" style="24" customWidth="1"/>
    <col min="26" max="27" width="13.75390625" style="24" customWidth="1"/>
    <col min="28" max="28" width="15.625" style="24" customWidth="1"/>
    <col min="29" max="29" width="15.25390625" style="24" customWidth="1"/>
    <col min="30" max="30" width="13.875" style="24" customWidth="1"/>
    <col min="31" max="31" width="11.375" style="24" customWidth="1"/>
    <col min="32" max="32" width="11.875" style="24" customWidth="1"/>
    <col min="33" max="33" width="10.625" style="24" customWidth="1"/>
    <col min="34" max="34" width="12.75390625" style="24" customWidth="1"/>
    <col min="35" max="35" width="11.00390625" style="24" customWidth="1"/>
    <col min="36" max="39" width="6.75390625" style="24" customWidth="1"/>
    <col min="40" max="40" width="6.375" style="24" customWidth="1"/>
    <col min="41" max="16384" width="6.75390625" style="24" customWidth="1"/>
  </cols>
  <sheetData>
    <row r="1" spans="2:30" s="2" customFormat="1" ht="11.25">
      <c r="B1" s="1"/>
      <c r="D1" s="3"/>
      <c r="E1" s="3"/>
      <c r="F1" s="4"/>
      <c r="G1" s="3"/>
      <c r="H1" s="3"/>
      <c r="I1" s="4"/>
      <c r="J1" s="3"/>
      <c r="K1" s="3"/>
      <c r="L1" s="4"/>
      <c r="M1" s="3"/>
      <c r="N1" s="3"/>
      <c r="O1" s="4"/>
      <c r="P1" s="3"/>
      <c r="Q1" s="3"/>
      <c r="R1" s="4"/>
      <c r="S1" s="3"/>
      <c r="T1" s="3"/>
      <c r="U1" s="4"/>
      <c r="V1" s="3"/>
      <c r="W1" s="3"/>
      <c r="X1" s="4"/>
      <c r="Y1" s="3"/>
      <c r="Z1" s="3"/>
      <c r="AA1" s="4"/>
      <c r="AB1" s="3"/>
      <c r="AC1" s="3"/>
      <c r="AD1" s="4"/>
    </row>
    <row r="2" spans="2:30" s="2" customFormat="1" ht="12.75">
      <c r="B2" s="1"/>
      <c r="D2" s="3"/>
      <c r="F2" s="5"/>
      <c r="G2" s="3"/>
      <c r="I2" s="5"/>
      <c r="J2" s="3"/>
      <c r="L2" s="415"/>
      <c r="M2" s="3"/>
      <c r="O2" s="5"/>
      <c r="P2" s="3"/>
      <c r="R2" s="13"/>
      <c r="S2" s="3"/>
      <c r="U2" s="5"/>
      <c r="V2" s="3"/>
      <c r="X2" s="431"/>
      <c r="Y2" s="3"/>
      <c r="AA2" s="5"/>
      <c r="AB2" s="3"/>
      <c r="AD2" s="431" t="s">
        <v>336</v>
      </c>
    </row>
    <row r="3" spans="2:30" s="9" customFormat="1" ht="12.75">
      <c r="B3" s="7"/>
      <c r="C3" s="8"/>
      <c r="E3" s="10"/>
      <c r="F3" s="11"/>
      <c r="H3" s="10"/>
      <c r="I3" s="11"/>
      <c r="K3" s="10"/>
      <c r="L3" s="416"/>
      <c r="N3" s="10"/>
      <c r="O3" s="11"/>
      <c r="Q3" s="10"/>
      <c r="R3" s="10"/>
      <c r="T3" s="10"/>
      <c r="U3" s="11"/>
      <c r="W3" s="10"/>
      <c r="X3" s="432"/>
      <c r="Z3" s="10"/>
      <c r="AA3" s="11"/>
      <c r="AC3" s="10"/>
      <c r="AD3" s="432" t="s">
        <v>334</v>
      </c>
    </row>
    <row r="4" spans="2:30" s="9" customFormat="1" ht="12.75">
      <c r="B4" s="7"/>
      <c r="C4" s="8"/>
      <c r="E4" s="6"/>
      <c r="F4" s="11"/>
      <c r="H4" s="6"/>
      <c r="I4" s="11"/>
      <c r="K4" s="6"/>
      <c r="L4" s="415"/>
      <c r="N4" s="6"/>
      <c r="O4" s="11"/>
      <c r="Q4" s="6"/>
      <c r="R4" s="6"/>
      <c r="T4" s="6"/>
      <c r="U4" s="11"/>
      <c r="W4" s="6"/>
      <c r="X4" s="431"/>
      <c r="Z4" s="6"/>
      <c r="AA4" s="11"/>
      <c r="AC4" s="6"/>
      <c r="AD4" s="431" t="s">
        <v>335</v>
      </c>
    </row>
    <row r="5" spans="2:30" s="9" customFormat="1" ht="14.25">
      <c r="B5" s="7"/>
      <c r="C5" s="8"/>
      <c r="E5" s="6"/>
      <c r="F5" s="11"/>
      <c r="H5" s="6"/>
      <c r="I5" s="11"/>
      <c r="K5" s="6"/>
      <c r="L5" s="12"/>
      <c r="N5" s="6"/>
      <c r="O5" s="11"/>
      <c r="Q5" s="6"/>
      <c r="R5" s="12"/>
      <c r="T5" s="6"/>
      <c r="U5" s="11"/>
      <c r="W5" s="6"/>
      <c r="X5" s="12"/>
      <c r="Z5" s="6"/>
      <c r="AA5" s="11"/>
      <c r="AC5" s="6"/>
      <c r="AD5" s="12" t="s">
        <v>1</v>
      </c>
    </row>
    <row r="6" spans="2:30" s="9" customFormat="1" ht="12.75">
      <c r="B6" s="7"/>
      <c r="C6" s="8"/>
      <c r="E6" s="6"/>
      <c r="F6" s="11"/>
      <c r="H6" s="6"/>
      <c r="I6" s="11"/>
      <c r="K6" s="6"/>
      <c r="L6" s="5"/>
      <c r="N6" s="6"/>
      <c r="O6" s="11"/>
      <c r="Q6" s="6"/>
      <c r="R6" s="5"/>
      <c r="T6" s="6"/>
      <c r="U6" s="11"/>
      <c r="W6" s="6"/>
      <c r="X6" s="5"/>
      <c r="Z6" s="6"/>
      <c r="AA6" s="11"/>
      <c r="AC6" s="6"/>
      <c r="AD6" s="5" t="s">
        <v>2</v>
      </c>
    </row>
    <row r="7" spans="2:30" s="9" customFormat="1" ht="12.75">
      <c r="B7" s="7"/>
      <c r="C7" s="8"/>
      <c r="E7" s="6"/>
      <c r="F7" s="11"/>
      <c r="H7" s="6"/>
      <c r="I7" s="11"/>
      <c r="K7" s="6"/>
      <c r="L7" s="11"/>
      <c r="N7" s="6"/>
      <c r="O7" s="11"/>
      <c r="Q7" s="6"/>
      <c r="R7" s="11"/>
      <c r="T7" s="6"/>
      <c r="U7" s="11"/>
      <c r="W7" s="6"/>
      <c r="X7" s="11"/>
      <c r="Z7" s="6"/>
      <c r="AA7" s="11"/>
      <c r="AC7" s="6"/>
      <c r="AD7" s="11" t="s">
        <v>0</v>
      </c>
    </row>
    <row r="8" spans="2:30" s="9" customFormat="1" ht="12.75">
      <c r="B8" s="7"/>
      <c r="C8" s="8"/>
      <c r="E8" s="6"/>
      <c r="F8" s="11"/>
      <c r="H8" s="6"/>
      <c r="I8" s="11"/>
      <c r="K8" s="6"/>
      <c r="L8" s="11"/>
      <c r="N8" s="6"/>
      <c r="O8" s="11"/>
      <c r="Q8" s="6"/>
      <c r="R8" s="11"/>
      <c r="T8" s="6"/>
      <c r="U8" s="11"/>
      <c r="W8" s="6"/>
      <c r="X8" s="11"/>
      <c r="Z8" s="6"/>
      <c r="AA8" s="11"/>
      <c r="AC8" s="6"/>
      <c r="AD8" s="11" t="s">
        <v>3</v>
      </c>
    </row>
    <row r="9" spans="2:29" s="9" customFormat="1" ht="7.5" customHeight="1">
      <c r="B9" s="7"/>
      <c r="C9" s="8"/>
      <c r="E9" s="13"/>
      <c r="H9" s="13"/>
      <c r="K9" s="13"/>
      <c r="N9" s="13"/>
      <c r="Q9" s="13"/>
      <c r="T9" s="13"/>
      <c r="W9" s="13"/>
      <c r="Z9" s="13"/>
      <c r="AC9" s="13"/>
    </row>
    <row r="10" spans="2:29" s="9" customFormat="1" ht="12.75">
      <c r="B10" s="7"/>
      <c r="C10" s="8"/>
      <c r="E10" s="6"/>
      <c r="H10" s="6"/>
      <c r="K10" s="6"/>
      <c r="N10" s="6"/>
      <c r="Q10" s="6"/>
      <c r="T10" s="6"/>
      <c r="W10" s="6"/>
      <c r="Z10" s="6"/>
      <c r="AC10" s="6"/>
    </row>
    <row r="11" spans="2:29" s="9" customFormat="1" ht="9" customHeight="1">
      <c r="B11" s="7"/>
      <c r="C11" s="8"/>
      <c r="D11" s="14"/>
      <c r="E11" s="6"/>
      <c r="G11" s="14"/>
      <c r="H11" s="6"/>
      <c r="J11" s="14"/>
      <c r="K11" s="6"/>
      <c r="M11" s="14"/>
      <c r="N11" s="6"/>
      <c r="P11" s="14"/>
      <c r="Q11" s="6"/>
      <c r="S11" s="14"/>
      <c r="T11" s="6"/>
      <c r="V11" s="14"/>
      <c r="W11" s="6"/>
      <c r="Y11" s="14"/>
      <c r="Z11" s="6"/>
      <c r="AB11" s="14"/>
      <c r="AC11" s="6"/>
    </row>
    <row r="12" spans="2:30" s="9" customFormat="1" ht="15.75">
      <c r="B12" s="7"/>
      <c r="C12" s="15" t="s">
        <v>4</v>
      </c>
      <c r="E12" s="16"/>
      <c r="F12" s="17"/>
      <c r="H12" s="16"/>
      <c r="I12" s="17"/>
      <c r="K12" s="16"/>
      <c r="L12" s="17"/>
      <c r="N12" s="16"/>
      <c r="O12" s="17"/>
      <c r="Q12" s="16"/>
      <c r="R12" s="17"/>
      <c r="T12" s="16"/>
      <c r="U12" s="17"/>
      <c r="W12" s="16"/>
      <c r="X12" s="17"/>
      <c r="Z12" s="16"/>
      <c r="AA12" s="17"/>
      <c r="AC12" s="16"/>
      <c r="AD12" s="17"/>
    </row>
    <row r="13" spans="2:30" s="9" customFormat="1" ht="11.25">
      <c r="B13" s="7"/>
      <c r="C13" s="8"/>
      <c r="E13" s="16"/>
      <c r="F13" s="17"/>
      <c r="H13" s="16"/>
      <c r="I13" s="17"/>
      <c r="K13" s="16"/>
      <c r="L13" s="17"/>
      <c r="N13" s="16"/>
      <c r="O13" s="17"/>
      <c r="Q13" s="16"/>
      <c r="R13" s="17"/>
      <c r="T13" s="16"/>
      <c r="U13" s="17"/>
      <c r="W13" s="16"/>
      <c r="X13" s="17"/>
      <c r="Z13" s="16"/>
      <c r="AA13" s="17"/>
      <c r="AC13" s="16"/>
      <c r="AD13" s="17"/>
    </row>
    <row r="14" spans="2:30" s="9" customFormat="1" ht="12" thickBot="1">
      <c r="B14" s="7"/>
      <c r="C14" s="8"/>
      <c r="D14" s="18"/>
      <c r="E14" s="16"/>
      <c r="F14" s="17" t="s">
        <v>5</v>
      </c>
      <c r="G14" s="18"/>
      <c r="H14" s="16"/>
      <c r="I14" s="17" t="s">
        <v>5</v>
      </c>
      <c r="J14" s="18"/>
      <c r="K14" s="16"/>
      <c r="L14" s="17"/>
      <c r="M14" s="18"/>
      <c r="N14" s="16"/>
      <c r="O14" s="17"/>
      <c r="P14" s="18"/>
      <c r="Q14" s="16"/>
      <c r="R14" s="17"/>
      <c r="S14" s="18"/>
      <c r="T14" s="16"/>
      <c r="U14" s="17"/>
      <c r="V14" s="18"/>
      <c r="W14" s="16"/>
      <c r="X14" s="17"/>
      <c r="Y14" s="18"/>
      <c r="Z14" s="16"/>
      <c r="AA14" s="17"/>
      <c r="AB14" s="18"/>
      <c r="AC14" s="16"/>
      <c r="AD14" s="17" t="s">
        <v>5</v>
      </c>
    </row>
    <row r="15" spans="2:30" ht="15.75" customHeight="1">
      <c r="B15" s="19"/>
      <c r="C15" s="20"/>
      <c r="D15" s="21"/>
      <c r="E15" s="22" t="s">
        <v>6</v>
      </c>
      <c r="F15" s="23"/>
      <c r="G15" s="21"/>
      <c r="H15" s="22" t="s">
        <v>6</v>
      </c>
      <c r="I15" s="23"/>
      <c r="J15" s="21"/>
      <c r="K15" s="22" t="s">
        <v>6</v>
      </c>
      <c r="L15" s="23"/>
      <c r="M15" s="21"/>
      <c r="N15" s="22" t="s">
        <v>6</v>
      </c>
      <c r="O15" s="23"/>
      <c r="P15" s="21"/>
      <c r="Q15" s="22" t="s">
        <v>6</v>
      </c>
      <c r="R15" s="23"/>
      <c r="S15" s="21"/>
      <c r="T15" s="22" t="s">
        <v>6</v>
      </c>
      <c r="U15" s="23"/>
      <c r="V15" s="21"/>
      <c r="W15" s="22" t="s">
        <v>6</v>
      </c>
      <c r="X15" s="23"/>
      <c r="Y15" s="21"/>
      <c r="Z15" s="22" t="s">
        <v>6</v>
      </c>
      <c r="AA15" s="23"/>
      <c r="AB15" s="21"/>
      <c r="AC15" s="22" t="s">
        <v>6</v>
      </c>
      <c r="AD15" s="23"/>
    </row>
    <row r="16" spans="2:30" ht="11.25">
      <c r="B16" s="25" t="s">
        <v>7</v>
      </c>
      <c r="C16" s="26" t="s">
        <v>8</v>
      </c>
      <c r="D16" s="27" t="s">
        <v>9</v>
      </c>
      <c r="E16" s="28"/>
      <c r="F16" s="29"/>
      <c r="G16" s="27" t="s">
        <v>10</v>
      </c>
      <c r="H16" s="28"/>
      <c r="I16" s="29"/>
      <c r="J16" s="27" t="s">
        <v>11</v>
      </c>
      <c r="K16" s="28"/>
      <c r="L16" s="29"/>
      <c r="M16" s="27" t="s">
        <v>10</v>
      </c>
      <c r="N16" s="28"/>
      <c r="O16" s="29"/>
      <c r="P16" s="27" t="s">
        <v>11</v>
      </c>
      <c r="Q16" s="28"/>
      <c r="R16" s="29"/>
      <c r="S16" s="27" t="s">
        <v>10</v>
      </c>
      <c r="T16" s="28"/>
      <c r="U16" s="29"/>
      <c r="V16" s="27" t="s">
        <v>11</v>
      </c>
      <c r="W16" s="28"/>
      <c r="X16" s="29"/>
      <c r="Y16" s="27" t="s">
        <v>10</v>
      </c>
      <c r="Z16" s="28"/>
      <c r="AA16" s="29"/>
      <c r="AB16" s="27" t="s">
        <v>11</v>
      </c>
      <c r="AC16" s="28"/>
      <c r="AD16" s="29"/>
    </row>
    <row r="17" spans="2:30" ht="11.25">
      <c r="B17" s="25" t="s">
        <v>12</v>
      </c>
      <c r="C17" s="30"/>
      <c r="D17" s="7"/>
      <c r="E17" s="31" t="s">
        <v>13</v>
      </c>
      <c r="F17" s="29" t="s">
        <v>13</v>
      </c>
      <c r="G17" s="7"/>
      <c r="H17" s="31" t="s">
        <v>13</v>
      </c>
      <c r="I17" s="29" t="s">
        <v>13</v>
      </c>
      <c r="J17" s="7" t="s">
        <v>14</v>
      </c>
      <c r="K17" s="31" t="s">
        <v>13</v>
      </c>
      <c r="L17" s="29" t="s">
        <v>13</v>
      </c>
      <c r="M17" s="7"/>
      <c r="N17" s="31" t="s">
        <v>13</v>
      </c>
      <c r="O17" s="29" t="s">
        <v>13</v>
      </c>
      <c r="P17" s="7" t="s">
        <v>14</v>
      </c>
      <c r="Q17" s="31" t="s">
        <v>13</v>
      </c>
      <c r="R17" s="29" t="s">
        <v>13</v>
      </c>
      <c r="S17" s="7"/>
      <c r="T17" s="31" t="s">
        <v>13</v>
      </c>
      <c r="U17" s="29" t="s">
        <v>13</v>
      </c>
      <c r="V17" s="27" t="s">
        <v>18</v>
      </c>
      <c r="W17" s="31" t="s">
        <v>13</v>
      </c>
      <c r="X17" s="29" t="s">
        <v>13</v>
      </c>
      <c r="Y17" s="7"/>
      <c r="Z17" s="31" t="s">
        <v>13</v>
      </c>
      <c r="AA17" s="29" t="s">
        <v>13</v>
      </c>
      <c r="AB17" s="7" t="s">
        <v>14</v>
      </c>
      <c r="AC17" s="31" t="s">
        <v>13</v>
      </c>
      <c r="AD17" s="29" t="s">
        <v>13</v>
      </c>
    </row>
    <row r="18" spans="2:30" ht="11.25">
      <c r="B18" s="25"/>
      <c r="C18" s="30"/>
      <c r="D18" s="27" t="s">
        <v>15</v>
      </c>
      <c r="E18" s="31" t="s">
        <v>16</v>
      </c>
      <c r="F18" s="29" t="s">
        <v>17</v>
      </c>
      <c r="G18" s="27" t="s">
        <v>15</v>
      </c>
      <c r="H18" s="31" t="s">
        <v>16</v>
      </c>
      <c r="I18" s="29" t="s">
        <v>17</v>
      </c>
      <c r="J18" s="27" t="s">
        <v>18</v>
      </c>
      <c r="K18" s="31" t="s">
        <v>16</v>
      </c>
      <c r="L18" s="29" t="s">
        <v>17</v>
      </c>
      <c r="M18" s="27" t="s">
        <v>15</v>
      </c>
      <c r="N18" s="31" t="s">
        <v>16</v>
      </c>
      <c r="O18" s="29" t="s">
        <v>17</v>
      </c>
      <c r="P18" s="27" t="s">
        <v>18</v>
      </c>
      <c r="Q18" s="31" t="s">
        <v>16</v>
      </c>
      <c r="R18" s="29" t="s">
        <v>17</v>
      </c>
      <c r="S18" s="27" t="s">
        <v>15</v>
      </c>
      <c r="T18" s="31" t="s">
        <v>16</v>
      </c>
      <c r="U18" s="29" t="s">
        <v>17</v>
      </c>
      <c r="V18" s="27"/>
      <c r="W18" s="31" t="s">
        <v>16</v>
      </c>
      <c r="X18" s="29" t="s">
        <v>17</v>
      </c>
      <c r="Y18" s="27" t="s">
        <v>15</v>
      </c>
      <c r="Z18" s="31" t="s">
        <v>16</v>
      </c>
      <c r="AA18" s="29" t="s">
        <v>17</v>
      </c>
      <c r="AB18" s="27" t="s">
        <v>18</v>
      </c>
      <c r="AC18" s="31" t="s">
        <v>16</v>
      </c>
      <c r="AD18" s="29" t="s">
        <v>17</v>
      </c>
    </row>
    <row r="19" spans="2:30" ht="12" thickBot="1">
      <c r="B19" s="25"/>
      <c r="C19" s="30"/>
      <c r="D19" s="27"/>
      <c r="E19" s="32"/>
      <c r="F19" s="33"/>
      <c r="G19" s="27"/>
      <c r="H19" s="32"/>
      <c r="I19" s="33"/>
      <c r="J19" s="27"/>
      <c r="K19" s="32"/>
      <c r="L19" s="33"/>
      <c r="M19" s="27"/>
      <c r="N19" s="32"/>
      <c r="O19" s="33"/>
      <c r="P19" s="27"/>
      <c r="Q19" s="32"/>
      <c r="R19" s="33"/>
      <c r="S19" s="27"/>
      <c r="T19" s="32"/>
      <c r="U19" s="33"/>
      <c r="V19" s="27"/>
      <c r="W19" s="32"/>
      <c r="X19" s="33"/>
      <c r="Y19" s="27"/>
      <c r="Z19" s="32"/>
      <c r="AA19" s="33"/>
      <c r="AB19" s="27"/>
      <c r="AC19" s="32"/>
      <c r="AD19" s="33"/>
    </row>
    <row r="20" spans="2:30" ht="12.75" thickBot="1" thickTop="1">
      <c r="B20" s="34">
        <v>1</v>
      </c>
      <c r="C20" s="35">
        <v>2</v>
      </c>
      <c r="D20" s="36">
        <v>3</v>
      </c>
      <c r="E20" s="36">
        <v>4</v>
      </c>
      <c r="F20" s="37">
        <v>5</v>
      </c>
      <c r="G20" s="36">
        <v>6</v>
      </c>
      <c r="H20" s="36">
        <v>7</v>
      </c>
      <c r="I20" s="37">
        <v>8</v>
      </c>
      <c r="J20" s="36">
        <v>3</v>
      </c>
      <c r="K20" s="36">
        <v>4</v>
      </c>
      <c r="L20" s="37">
        <v>5</v>
      </c>
      <c r="M20" s="36">
        <v>6</v>
      </c>
      <c r="N20" s="36">
        <v>7</v>
      </c>
      <c r="O20" s="37">
        <v>8</v>
      </c>
      <c r="P20" s="36">
        <v>3</v>
      </c>
      <c r="Q20" s="36">
        <v>4</v>
      </c>
      <c r="R20" s="37">
        <v>5</v>
      </c>
      <c r="S20" s="36">
        <v>6</v>
      </c>
      <c r="T20" s="36">
        <v>7</v>
      </c>
      <c r="U20" s="37">
        <v>8</v>
      </c>
      <c r="V20" s="36">
        <v>3</v>
      </c>
      <c r="W20" s="36">
        <v>4</v>
      </c>
      <c r="X20" s="37">
        <v>5</v>
      </c>
      <c r="Y20" s="36">
        <v>6</v>
      </c>
      <c r="Z20" s="36">
        <v>7</v>
      </c>
      <c r="AA20" s="37">
        <v>8</v>
      </c>
      <c r="AB20" s="36">
        <v>9</v>
      </c>
      <c r="AC20" s="36">
        <v>10</v>
      </c>
      <c r="AD20" s="37">
        <v>11</v>
      </c>
    </row>
    <row r="21" spans="2:30" ht="13.5" thickTop="1">
      <c r="B21" s="25"/>
      <c r="C21" s="26"/>
      <c r="D21" s="38"/>
      <c r="E21" s="39"/>
      <c r="F21" s="40"/>
      <c r="G21" s="38"/>
      <c r="H21" s="39"/>
      <c r="I21" s="40"/>
      <c r="J21" s="38"/>
      <c r="K21" s="39"/>
      <c r="L21" s="40"/>
      <c r="M21" s="38"/>
      <c r="N21" s="39"/>
      <c r="O21" s="40"/>
      <c r="P21" s="38"/>
      <c r="Q21" s="39"/>
      <c r="R21" s="40"/>
      <c r="S21" s="38"/>
      <c r="T21" s="39"/>
      <c r="U21" s="40"/>
      <c r="V21" s="38"/>
      <c r="W21" s="39"/>
      <c r="X21" s="40"/>
      <c r="Y21" s="38"/>
      <c r="Z21" s="39"/>
      <c r="AA21" s="40"/>
      <c r="AB21" s="38"/>
      <c r="AC21" s="39"/>
      <c r="AD21" s="40"/>
    </row>
    <row r="22" spans="2:35" ht="12.75">
      <c r="B22" s="41"/>
      <c r="C22" s="42" t="s">
        <v>19</v>
      </c>
      <c r="D22" s="43">
        <v>2470953082</v>
      </c>
      <c r="E22" s="44">
        <v>1584330998</v>
      </c>
      <c r="F22" s="45">
        <v>886622084</v>
      </c>
      <c r="G22" s="43">
        <f aca="true" t="shared" si="0" ref="G22:X22">G25+G371</f>
        <v>23330041</v>
      </c>
      <c r="H22" s="44">
        <f t="shared" si="0"/>
        <v>8015600</v>
      </c>
      <c r="I22" s="45">
        <f t="shared" si="0"/>
        <v>15314441</v>
      </c>
      <c r="J22" s="43">
        <f t="shared" si="0"/>
        <v>2494283123</v>
      </c>
      <c r="K22" s="44">
        <f t="shared" si="0"/>
        <v>1592346598</v>
      </c>
      <c r="L22" s="45">
        <f t="shared" si="0"/>
        <v>901936525</v>
      </c>
      <c r="M22" s="43">
        <f t="shared" si="0"/>
        <v>1256474</v>
      </c>
      <c r="N22" s="44">
        <f t="shared" si="0"/>
        <v>1256474</v>
      </c>
      <c r="O22" s="45">
        <f t="shared" si="0"/>
        <v>0</v>
      </c>
      <c r="P22" s="43">
        <f t="shared" si="0"/>
        <v>2495539597</v>
      </c>
      <c r="Q22" s="44">
        <f t="shared" si="0"/>
        <v>1593603072</v>
      </c>
      <c r="R22" s="45">
        <f t="shared" si="0"/>
        <v>901936525</v>
      </c>
      <c r="S22" s="43">
        <f t="shared" si="0"/>
        <v>95124176</v>
      </c>
      <c r="T22" s="44">
        <f t="shared" si="0"/>
        <v>135963524</v>
      </c>
      <c r="U22" s="45">
        <f t="shared" si="0"/>
        <v>-40839348</v>
      </c>
      <c r="V22" s="43">
        <f t="shared" si="0"/>
        <v>2590663773</v>
      </c>
      <c r="W22" s="44">
        <f t="shared" si="0"/>
        <v>1729566596</v>
      </c>
      <c r="X22" s="45">
        <f t="shared" si="0"/>
        <v>861097177</v>
      </c>
      <c r="Y22" s="43">
        <f aca="true" t="shared" si="1" ref="Y22:AD22">Y25+Y371</f>
        <v>2977247</v>
      </c>
      <c r="Z22" s="44">
        <f t="shared" si="1"/>
        <v>2634549</v>
      </c>
      <c r="AA22" s="45">
        <f t="shared" si="1"/>
        <v>342698</v>
      </c>
      <c r="AB22" s="43">
        <f t="shared" si="1"/>
        <v>2593641020</v>
      </c>
      <c r="AC22" s="44">
        <f t="shared" si="1"/>
        <v>1732201145</v>
      </c>
      <c r="AD22" s="45">
        <f t="shared" si="1"/>
        <v>861439875</v>
      </c>
      <c r="AF22" s="46">
        <f>V22-(S22+P22)</f>
        <v>0</v>
      </c>
      <c r="AG22" s="46"/>
      <c r="AI22" s="46"/>
    </row>
    <row r="23" spans="2:33" ht="13.5" thickBot="1">
      <c r="B23" s="41"/>
      <c r="C23" s="47"/>
      <c r="D23" s="48"/>
      <c r="E23" s="49"/>
      <c r="F23" s="50"/>
      <c r="G23" s="48"/>
      <c r="H23" s="49"/>
      <c r="I23" s="50"/>
      <c r="J23" s="48"/>
      <c r="K23" s="49"/>
      <c r="L23" s="50"/>
      <c r="M23" s="48"/>
      <c r="N23" s="49"/>
      <c r="O23" s="50"/>
      <c r="P23" s="48"/>
      <c r="Q23" s="49"/>
      <c r="R23" s="50"/>
      <c r="S23" s="48"/>
      <c r="T23" s="49"/>
      <c r="U23" s="50"/>
      <c r="V23" s="48"/>
      <c r="W23" s="49"/>
      <c r="X23" s="50"/>
      <c r="Y23" s="48"/>
      <c r="Z23" s="49"/>
      <c r="AA23" s="50"/>
      <c r="AB23" s="48"/>
      <c r="AC23" s="49"/>
      <c r="AD23" s="50"/>
      <c r="AF23" s="46">
        <f aca="true" t="shared" si="2" ref="AF23:AF86">V23-(S23+P23)</f>
        <v>0</v>
      </c>
      <c r="AG23" s="46"/>
    </row>
    <row r="24" spans="2:33" ht="13.5" thickTop="1">
      <c r="B24" s="41"/>
      <c r="C24" s="51"/>
      <c r="D24" s="43"/>
      <c r="E24" s="52"/>
      <c r="F24" s="53"/>
      <c r="G24" s="43"/>
      <c r="H24" s="52"/>
      <c r="I24" s="53"/>
      <c r="J24" s="43"/>
      <c r="K24" s="52"/>
      <c r="L24" s="53"/>
      <c r="M24" s="43"/>
      <c r="N24" s="52"/>
      <c r="O24" s="53"/>
      <c r="P24" s="43"/>
      <c r="Q24" s="52"/>
      <c r="R24" s="53"/>
      <c r="S24" s="43"/>
      <c r="T24" s="52"/>
      <c r="U24" s="53"/>
      <c r="V24" s="43"/>
      <c r="W24" s="52"/>
      <c r="X24" s="53"/>
      <c r="Y24" s="43"/>
      <c r="Z24" s="52"/>
      <c r="AA24" s="53"/>
      <c r="AB24" s="43"/>
      <c r="AC24" s="52"/>
      <c r="AD24" s="53"/>
      <c r="AF24" s="46">
        <f t="shared" si="2"/>
        <v>0</v>
      </c>
      <c r="AG24" s="46"/>
    </row>
    <row r="25" spans="2:33" ht="12.75">
      <c r="B25" s="41"/>
      <c r="C25" s="54" t="s">
        <v>20</v>
      </c>
      <c r="D25" s="43">
        <v>1549141746</v>
      </c>
      <c r="E25" s="44">
        <v>1096778047</v>
      </c>
      <c r="F25" s="55">
        <v>452363699</v>
      </c>
      <c r="G25" s="43">
        <f aca="true" t="shared" si="3" ref="G25:X25">G29+G330</f>
        <v>16266365</v>
      </c>
      <c r="H25" s="44">
        <f t="shared" si="3"/>
        <v>6781924</v>
      </c>
      <c r="I25" s="55">
        <f t="shared" si="3"/>
        <v>9484441</v>
      </c>
      <c r="J25" s="43">
        <f t="shared" si="3"/>
        <v>1565408111</v>
      </c>
      <c r="K25" s="44">
        <f t="shared" si="3"/>
        <v>1103559971</v>
      </c>
      <c r="L25" s="55">
        <f t="shared" si="3"/>
        <v>461848140</v>
      </c>
      <c r="M25" s="43">
        <f t="shared" si="3"/>
        <v>1252652</v>
      </c>
      <c r="N25" s="44">
        <f t="shared" si="3"/>
        <v>1252652</v>
      </c>
      <c r="O25" s="55">
        <f t="shared" si="3"/>
        <v>0</v>
      </c>
      <c r="P25" s="43">
        <f t="shared" si="3"/>
        <v>1566660763</v>
      </c>
      <c r="Q25" s="44">
        <f t="shared" si="3"/>
        <v>1104812623</v>
      </c>
      <c r="R25" s="55">
        <f t="shared" si="3"/>
        <v>461848140</v>
      </c>
      <c r="S25" s="43">
        <f t="shared" si="3"/>
        <v>61971747</v>
      </c>
      <c r="T25" s="44">
        <f t="shared" si="3"/>
        <v>107879345</v>
      </c>
      <c r="U25" s="55">
        <f t="shared" si="3"/>
        <v>-45907598</v>
      </c>
      <c r="V25" s="43">
        <f t="shared" si="3"/>
        <v>1628632510</v>
      </c>
      <c r="W25" s="44">
        <f t="shared" si="3"/>
        <v>1212691968</v>
      </c>
      <c r="X25" s="55">
        <f t="shared" si="3"/>
        <v>415940542</v>
      </c>
      <c r="Y25" s="43">
        <f aca="true" t="shared" si="4" ref="Y25:AD25">Y29+Y330</f>
        <v>2794784</v>
      </c>
      <c r="Z25" s="44">
        <f t="shared" si="4"/>
        <v>2794784</v>
      </c>
      <c r="AA25" s="55">
        <f t="shared" si="4"/>
        <v>0</v>
      </c>
      <c r="AB25" s="43">
        <f t="shared" si="4"/>
        <v>1631427294</v>
      </c>
      <c r="AC25" s="44">
        <f t="shared" si="4"/>
        <v>1215486752</v>
      </c>
      <c r="AD25" s="55">
        <f t="shared" si="4"/>
        <v>415940542</v>
      </c>
      <c r="AF25" s="46">
        <f>V25-(S25+P25)</f>
        <v>0</v>
      </c>
      <c r="AG25" s="46"/>
    </row>
    <row r="26" spans="2:33" ht="13.5" thickBot="1">
      <c r="B26" s="41"/>
      <c r="C26" s="56"/>
      <c r="D26" s="48"/>
      <c r="E26" s="49"/>
      <c r="F26" s="57"/>
      <c r="G26" s="48"/>
      <c r="H26" s="49"/>
      <c r="I26" s="57"/>
      <c r="J26" s="48"/>
      <c r="K26" s="49"/>
      <c r="L26" s="57"/>
      <c r="M26" s="48"/>
      <c r="N26" s="49"/>
      <c r="O26" s="57"/>
      <c r="P26" s="48"/>
      <c r="Q26" s="49"/>
      <c r="R26" s="57"/>
      <c r="S26" s="48"/>
      <c r="T26" s="49"/>
      <c r="U26" s="57"/>
      <c r="V26" s="48"/>
      <c r="W26" s="49"/>
      <c r="X26" s="57"/>
      <c r="Y26" s="48"/>
      <c r="Z26" s="49"/>
      <c r="AA26" s="57"/>
      <c r="AB26" s="48"/>
      <c r="AC26" s="49"/>
      <c r="AD26" s="57"/>
      <c r="AF26" s="46">
        <f t="shared" si="2"/>
        <v>0</v>
      </c>
      <c r="AG26" s="46"/>
    </row>
    <row r="27" spans="2:33" ht="14.25" thickBot="1" thickTop="1">
      <c r="B27" s="41"/>
      <c r="C27" s="58" t="s">
        <v>6</v>
      </c>
      <c r="D27" s="59"/>
      <c r="E27" s="60"/>
      <c r="F27" s="61"/>
      <c r="G27" s="59"/>
      <c r="H27" s="60"/>
      <c r="I27" s="61"/>
      <c r="J27" s="59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1"/>
      <c r="V27" s="59"/>
      <c r="W27" s="60"/>
      <c r="X27" s="61"/>
      <c r="Y27" s="59"/>
      <c r="Z27" s="60"/>
      <c r="AA27" s="61"/>
      <c r="AB27" s="59"/>
      <c r="AC27" s="60"/>
      <c r="AD27" s="61"/>
      <c r="AF27" s="46">
        <f t="shared" si="2"/>
        <v>0</v>
      </c>
      <c r="AG27" s="46"/>
    </row>
    <row r="28" spans="2:33" ht="13.5" thickTop="1">
      <c r="B28" s="41"/>
      <c r="C28" s="62"/>
      <c r="D28" s="63"/>
      <c r="E28" s="52"/>
      <c r="F28" s="64"/>
      <c r="G28" s="63"/>
      <c r="H28" s="52"/>
      <c r="I28" s="64"/>
      <c r="J28" s="63"/>
      <c r="K28" s="52"/>
      <c r="L28" s="64"/>
      <c r="M28" s="63"/>
      <c r="N28" s="52"/>
      <c r="O28" s="64"/>
      <c r="P28" s="63"/>
      <c r="Q28" s="52"/>
      <c r="R28" s="64"/>
      <c r="S28" s="63"/>
      <c r="T28" s="52"/>
      <c r="U28" s="64"/>
      <c r="V28" s="63"/>
      <c r="W28" s="52"/>
      <c r="X28" s="64"/>
      <c r="Y28" s="63"/>
      <c r="Z28" s="52"/>
      <c r="AA28" s="64"/>
      <c r="AB28" s="63"/>
      <c r="AC28" s="52"/>
      <c r="AD28" s="64"/>
      <c r="AF28" s="46">
        <f t="shared" si="2"/>
        <v>0</v>
      </c>
      <c r="AG28" s="46"/>
    </row>
    <row r="29" spans="1:33" ht="12.75">
      <c r="A29" s="65"/>
      <c r="B29" s="66"/>
      <c r="C29" s="67" t="s">
        <v>21</v>
      </c>
      <c r="D29" s="68">
        <v>1469199465</v>
      </c>
      <c r="E29" s="68">
        <v>1016835766</v>
      </c>
      <c r="F29" s="45">
        <v>452363699</v>
      </c>
      <c r="G29" s="68">
        <f aca="true" t="shared" si="5" ref="G29:X29">G31+G41+G58+G64+G71+G85+G98+G100+G112+G114+G140+G188+G235+G240+G252+G280+G309+G315+G109+G203+G79+G39+G82+G95+G186</f>
        <v>16266365</v>
      </c>
      <c r="H29" s="68">
        <f t="shared" si="5"/>
        <v>6781924</v>
      </c>
      <c r="I29" s="45">
        <f t="shared" si="5"/>
        <v>9484441</v>
      </c>
      <c r="J29" s="68">
        <f t="shared" si="5"/>
        <v>1485465830</v>
      </c>
      <c r="K29" s="68">
        <f t="shared" si="5"/>
        <v>1023617690</v>
      </c>
      <c r="L29" s="45">
        <f t="shared" si="5"/>
        <v>461848140</v>
      </c>
      <c r="M29" s="68">
        <f t="shared" si="5"/>
        <v>135400</v>
      </c>
      <c r="N29" s="68">
        <f t="shared" si="5"/>
        <v>135400</v>
      </c>
      <c r="O29" s="45">
        <f t="shared" si="5"/>
        <v>0</v>
      </c>
      <c r="P29" s="68">
        <f t="shared" si="5"/>
        <v>1485601230</v>
      </c>
      <c r="Q29" s="68">
        <f t="shared" si="5"/>
        <v>1023753090</v>
      </c>
      <c r="R29" s="45">
        <f t="shared" si="5"/>
        <v>461848140</v>
      </c>
      <c r="S29" s="68">
        <f t="shared" si="5"/>
        <v>61927312</v>
      </c>
      <c r="T29" s="68">
        <f t="shared" si="5"/>
        <v>107834910</v>
      </c>
      <c r="U29" s="45">
        <f t="shared" si="5"/>
        <v>-45907598</v>
      </c>
      <c r="V29" s="68">
        <f t="shared" si="5"/>
        <v>1547528542</v>
      </c>
      <c r="W29" s="68">
        <f t="shared" si="5"/>
        <v>1131588000</v>
      </c>
      <c r="X29" s="45">
        <f t="shared" si="5"/>
        <v>415940542</v>
      </c>
      <c r="Y29" s="68">
        <f aca="true" t="shared" si="6" ref="Y29:AD29">Y31+Y41+Y58+Y64+Y71+Y85+Y98+Y100+Y112+Y114+Y140+Y188+Y235+Y240+Y252+Y280+Y309+Y315+Y109+Y203+Y79+Y39+Y82+Y95+Y186</f>
        <v>2454334</v>
      </c>
      <c r="Z29" s="68">
        <f t="shared" si="6"/>
        <v>2454334</v>
      </c>
      <c r="AA29" s="45">
        <f t="shared" si="6"/>
        <v>0</v>
      </c>
      <c r="AB29" s="68">
        <f t="shared" si="6"/>
        <v>1549982876</v>
      </c>
      <c r="AC29" s="68">
        <f t="shared" si="6"/>
        <v>1134042334</v>
      </c>
      <c r="AD29" s="45">
        <f t="shared" si="6"/>
        <v>415940542</v>
      </c>
      <c r="AE29" s="69">
        <v>0</v>
      </c>
      <c r="AF29" s="46">
        <f>V29-(S29+P29)</f>
        <v>0</v>
      </c>
      <c r="AG29" s="46"/>
    </row>
    <row r="30" spans="1:33" ht="13.5" thickBot="1">
      <c r="A30" s="65"/>
      <c r="B30" s="70"/>
      <c r="C30" s="71"/>
      <c r="D30" s="48"/>
      <c r="E30" s="49"/>
      <c r="F30" s="72"/>
      <c r="G30" s="48"/>
      <c r="H30" s="49"/>
      <c r="I30" s="72"/>
      <c r="J30" s="48"/>
      <c r="K30" s="49"/>
      <c r="L30" s="72"/>
      <c r="M30" s="48"/>
      <c r="N30" s="49"/>
      <c r="O30" s="72"/>
      <c r="P30" s="48"/>
      <c r="Q30" s="49"/>
      <c r="R30" s="72"/>
      <c r="S30" s="48"/>
      <c r="T30" s="49"/>
      <c r="U30" s="72"/>
      <c r="V30" s="48"/>
      <c r="W30" s="49"/>
      <c r="X30" s="72"/>
      <c r="Y30" s="48"/>
      <c r="Z30" s="49"/>
      <c r="AA30" s="72"/>
      <c r="AB30" s="48"/>
      <c r="AC30" s="49"/>
      <c r="AD30" s="72"/>
      <c r="AF30" s="46">
        <f t="shared" si="2"/>
        <v>0</v>
      </c>
      <c r="AG30" s="46"/>
    </row>
    <row r="31" spans="1:33" ht="13.5" thickTop="1">
      <c r="A31" s="65"/>
      <c r="B31" s="73" t="s">
        <v>22</v>
      </c>
      <c r="C31" s="74" t="s">
        <v>23</v>
      </c>
      <c r="D31" s="75">
        <v>701880</v>
      </c>
      <c r="E31" s="76">
        <v>301880</v>
      </c>
      <c r="F31" s="77">
        <v>400000</v>
      </c>
      <c r="G31" s="75">
        <f>H31+I31</f>
        <v>0</v>
      </c>
      <c r="H31" s="76">
        <f>H32+H33+H34</f>
        <v>0</v>
      </c>
      <c r="I31" s="77">
        <f>I32+I33+I34</f>
        <v>0</v>
      </c>
      <c r="J31" s="75">
        <f>K31+L31</f>
        <v>701880</v>
      </c>
      <c r="K31" s="76">
        <f>K32+K33+K34</f>
        <v>301880</v>
      </c>
      <c r="L31" s="77">
        <f>L32+L33+L34</f>
        <v>400000</v>
      </c>
      <c r="M31" s="75">
        <f>N31+O31</f>
        <v>0</v>
      </c>
      <c r="N31" s="76">
        <f>N32+N33+N34</f>
        <v>0</v>
      </c>
      <c r="O31" s="77">
        <f>O32+O33+O34</f>
        <v>0</v>
      </c>
      <c r="P31" s="75">
        <f>Q31+R31</f>
        <v>701880</v>
      </c>
      <c r="Q31" s="76">
        <f>Q32+Q33+Q34</f>
        <v>301880</v>
      </c>
      <c r="R31" s="77">
        <f>R32+R33+R34</f>
        <v>400000</v>
      </c>
      <c r="S31" s="75">
        <f>T31+U31</f>
        <v>4840</v>
      </c>
      <c r="T31" s="76">
        <f>T32+T33+T34</f>
        <v>4840</v>
      </c>
      <c r="U31" s="77">
        <f>U32+U33+U34</f>
        <v>0</v>
      </c>
      <c r="V31" s="75">
        <f>W31+X31</f>
        <v>706720</v>
      </c>
      <c r="W31" s="76">
        <f>W32+W33+W34</f>
        <v>306720</v>
      </c>
      <c r="X31" s="77">
        <f>X32+X33+X34</f>
        <v>400000</v>
      </c>
      <c r="Y31" s="75">
        <f>Z31+AA31</f>
        <v>0</v>
      </c>
      <c r="Z31" s="76">
        <f>Z32+Z33+Z34</f>
        <v>0</v>
      </c>
      <c r="AA31" s="77">
        <f>AA32+AA33+AA34</f>
        <v>0</v>
      </c>
      <c r="AB31" s="75">
        <f>AC31+AD31</f>
        <v>706720</v>
      </c>
      <c r="AC31" s="76">
        <f>AC32+AC33+AC34</f>
        <v>306720</v>
      </c>
      <c r="AD31" s="77">
        <f>AD32+AD33+AD34</f>
        <v>400000</v>
      </c>
      <c r="AF31" s="46">
        <f t="shared" si="2"/>
        <v>0</v>
      </c>
      <c r="AG31" s="46"/>
    </row>
    <row r="32" spans="1:33" ht="12.75">
      <c r="A32" s="65"/>
      <c r="B32" s="78" t="s">
        <v>24</v>
      </c>
      <c r="C32" s="79" t="s">
        <v>25</v>
      </c>
      <c r="D32" s="80">
        <v>565000</v>
      </c>
      <c r="E32" s="81">
        <v>165000</v>
      </c>
      <c r="F32" s="82">
        <v>400000</v>
      </c>
      <c r="G32" s="80">
        <f>H32+I32</f>
        <v>0</v>
      </c>
      <c r="H32" s="81"/>
      <c r="I32" s="82"/>
      <c r="J32" s="80">
        <f>K32+L32</f>
        <v>565000</v>
      </c>
      <c r="K32" s="81">
        <f>E32+H32</f>
        <v>165000</v>
      </c>
      <c r="L32" s="82">
        <f>I32+F32</f>
        <v>400000</v>
      </c>
      <c r="M32" s="80">
        <f>N32+O32</f>
        <v>0</v>
      </c>
      <c r="N32" s="81"/>
      <c r="O32" s="82"/>
      <c r="P32" s="80">
        <f>Q32+R32</f>
        <v>565000</v>
      </c>
      <c r="Q32" s="81">
        <f>K32+N32</f>
        <v>165000</v>
      </c>
      <c r="R32" s="82">
        <f>O32+L32</f>
        <v>400000</v>
      </c>
      <c r="S32" s="80">
        <f>T32+U32</f>
        <v>0</v>
      </c>
      <c r="T32" s="81"/>
      <c r="U32" s="82"/>
      <c r="V32" s="80">
        <f>W32+X32</f>
        <v>565000</v>
      </c>
      <c r="W32" s="81">
        <f>Q32+T32</f>
        <v>165000</v>
      </c>
      <c r="X32" s="82">
        <f>U32+R32</f>
        <v>400000</v>
      </c>
      <c r="Y32" s="80">
        <f>Z32+AA32</f>
        <v>0</v>
      </c>
      <c r="Z32" s="81"/>
      <c r="AA32" s="82"/>
      <c r="AB32" s="80">
        <f>AC32+AD32</f>
        <v>565000</v>
      </c>
      <c r="AC32" s="81">
        <f>W32+Z32</f>
        <v>165000</v>
      </c>
      <c r="AD32" s="82">
        <f>AA32+X32</f>
        <v>400000</v>
      </c>
      <c r="AF32" s="46">
        <f t="shared" si="2"/>
        <v>0</v>
      </c>
      <c r="AG32" s="46"/>
    </row>
    <row r="33" spans="1:33" ht="12.75">
      <c r="A33" s="65"/>
      <c r="B33" s="78" t="s">
        <v>26</v>
      </c>
      <c r="C33" s="83" t="s">
        <v>27</v>
      </c>
      <c r="D33" s="80">
        <v>12000</v>
      </c>
      <c r="E33" s="81">
        <v>12000</v>
      </c>
      <c r="F33" s="82">
        <v>0</v>
      </c>
      <c r="G33" s="80">
        <f>H33+I33</f>
        <v>0</v>
      </c>
      <c r="H33" s="81"/>
      <c r="I33" s="82">
        <v>0</v>
      </c>
      <c r="J33" s="80">
        <f>K33+L33</f>
        <v>12000</v>
      </c>
      <c r="K33" s="81">
        <f>E33+H33</f>
        <v>12000</v>
      </c>
      <c r="L33" s="82">
        <f>I33+F33</f>
        <v>0</v>
      </c>
      <c r="M33" s="80">
        <f>N33+O33</f>
        <v>0</v>
      </c>
      <c r="N33" s="81"/>
      <c r="O33" s="82">
        <v>0</v>
      </c>
      <c r="P33" s="80">
        <f>Q33+R33</f>
        <v>12000</v>
      </c>
      <c r="Q33" s="81">
        <f>K33+N33</f>
        <v>12000</v>
      </c>
      <c r="R33" s="82">
        <f>O33+L33</f>
        <v>0</v>
      </c>
      <c r="S33" s="80">
        <f>T33+U33</f>
        <v>0</v>
      </c>
      <c r="T33" s="81"/>
      <c r="U33" s="82">
        <v>0</v>
      </c>
      <c r="V33" s="80">
        <f>W33+X33</f>
        <v>12000</v>
      </c>
      <c r="W33" s="81">
        <f>Q33+T33</f>
        <v>12000</v>
      </c>
      <c r="X33" s="82">
        <f>U33+R33</f>
        <v>0</v>
      </c>
      <c r="Y33" s="80">
        <f>Z33+AA33</f>
        <v>0</v>
      </c>
      <c r="Z33" s="81"/>
      <c r="AA33" s="82"/>
      <c r="AB33" s="80">
        <f>AC33+AD33</f>
        <v>12000</v>
      </c>
      <c r="AC33" s="81">
        <f>W33+Z33</f>
        <v>12000</v>
      </c>
      <c r="AD33" s="82">
        <f>AA33+X33</f>
        <v>0</v>
      </c>
      <c r="AF33" s="46">
        <f t="shared" si="2"/>
        <v>0</v>
      </c>
      <c r="AG33" s="46"/>
    </row>
    <row r="34" spans="1:33" ht="12.75">
      <c r="A34" s="65"/>
      <c r="B34" s="84" t="s">
        <v>28</v>
      </c>
      <c r="C34" s="85" t="s">
        <v>29</v>
      </c>
      <c r="D34" s="80">
        <v>124880</v>
      </c>
      <c r="E34" s="86">
        <v>124880</v>
      </c>
      <c r="F34" s="87">
        <v>0</v>
      </c>
      <c r="G34" s="80">
        <f aca="true" t="shared" si="7" ref="G34:X34">SUM(G35:G38)</f>
        <v>0</v>
      </c>
      <c r="H34" s="86">
        <f t="shared" si="7"/>
        <v>0</v>
      </c>
      <c r="I34" s="87">
        <f t="shared" si="7"/>
        <v>0</v>
      </c>
      <c r="J34" s="80">
        <f t="shared" si="7"/>
        <v>124880</v>
      </c>
      <c r="K34" s="86">
        <f t="shared" si="7"/>
        <v>124880</v>
      </c>
      <c r="L34" s="87">
        <f t="shared" si="7"/>
        <v>0</v>
      </c>
      <c r="M34" s="80">
        <f t="shared" si="7"/>
        <v>0</v>
      </c>
      <c r="N34" s="86">
        <f t="shared" si="7"/>
        <v>0</v>
      </c>
      <c r="O34" s="87">
        <f t="shared" si="7"/>
        <v>0</v>
      </c>
      <c r="P34" s="80">
        <f t="shared" si="7"/>
        <v>124880</v>
      </c>
      <c r="Q34" s="86">
        <f t="shared" si="7"/>
        <v>124880</v>
      </c>
      <c r="R34" s="87">
        <f t="shared" si="7"/>
        <v>0</v>
      </c>
      <c r="S34" s="80">
        <f t="shared" si="7"/>
        <v>4840</v>
      </c>
      <c r="T34" s="86">
        <f t="shared" si="7"/>
        <v>4840</v>
      </c>
      <c r="U34" s="87">
        <f t="shared" si="7"/>
        <v>0</v>
      </c>
      <c r="V34" s="80">
        <f t="shared" si="7"/>
        <v>129720</v>
      </c>
      <c r="W34" s="86">
        <f t="shared" si="7"/>
        <v>129720</v>
      </c>
      <c r="X34" s="87">
        <f t="shared" si="7"/>
        <v>0</v>
      </c>
      <c r="Y34" s="80">
        <f aca="true" t="shared" si="8" ref="Y34:AD34">SUM(Y35:Y38)</f>
        <v>0</v>
      </c>
      <c r="Z34" s="86">
        <f t="shared" si="8"/>
        <v>0</v>
      </c>
      <c r="AA34" s="87">
        <f t="shared" si="8"/>
        <v>0</v>
      </c>
      <c r="AB34" s="80">
        <f t="shared" si="8"/>
        <v>129720</v>
      </c>
      <c r="AC34" s="86">
        <f t="shared" si="8"/>
        <v>129720</v>
      </c>
      <c r="AD34" s="87">
        <f t="shared" si="8"/>
        <v>0</v>
      </c>
      <c r="AF34" s="46">
        <f t="shared" si="2"/>
        <v>0</v>
      </c>
      <c r="AG34" s="46"/>
    </row>
    <row r="35" spans="1:33" ht="15" customHeight="1">
      <c r="A35" s="65"/>
      <c r="B35" s="84"/>
      <c r="C35" s="85" t="s">
        <v>30</v>
      </c>
      <c r="D35" s="88">
        <v>85500</v>
      </c>
      <c r="E35" s="86">
        <v>85500</v>
      </c>
      <c r="F35" s="87">
        <v>0</v>
      </c>
      <c r="G35" s="88">
        <f aca="true" t="shared" si="9" ref="G35:G41">H35+I35</f>
        <v>0</v>
      </c>
      <c r="H35" s="86"/>
      <c r="I35" s="87">
        <v>0</v>
      </c>
      <c r="J35" s="88">
        <f aca="true" t="shared" si="10" ref="J35:J41">K35+L35</f>
        <v>85500</v>
      </c>
      <c r="K35" s="86">
        <f>E35+H35</f>
        <v>85500</v>
      </c>
      <c r="L35" s="87">
        <f>I35+F35</f>
        <v>0</v>
      </c>
      <c r="M35" s="88">
        <f aca="true" t="shared" si="11" ref="M35:M41">N35+O35</f>
        <v>0</v>
      </c>
      <c r="N35" s="86"/>
      <c r="O35" s="87">
        <v>0</v>
      </c>
      <c r="P35" s="88">
        <f aca="true" t="shared" si="12" ref="P35:P41">Q35+R35</f>
        <v>85500</v>
      </c>
      <c r="Q35" s="86">
        <f>K35+N35</f>
        <v>85500</v>
      </c>
      <c r="R35" s="87">
        <f>O35+L35</f>
        <v>0</v>
      </c>
      <c r="S35" s="88">
        <f aca="true" t="shared" si="13" ref="S35:S41">T35+U35</f>
        <v>3000</v>
      </c>
      <c r="T35" s="86">
        <v>3000</v>
      </c>
      <c r="U35" s="87">
        <v>0</v>
      </c>
      <c r="V35" s="88">
        <f aca="true" t="shared" si="14" ref="V35:V41">W35+X35</f>
        <v>88500</v>
      </c>
      <c r="W35" s="86">
        <f>Q35+T35</f>
        <v>88500</v>
      </c>
      <c r="X35" s="87">
        <f>U35+R35</f>
        <v>0</v>
      </c>
      <c r="Y35" s="88">
        <f aca="true" t="shared" si="15" ref="Y35:Y41">Z35+AA35</f>
        <v>0</v>
      </c>
      <c r="Z35" s="86"/>
      <c r="AA35" s="87"/>
      <c r="AB35" s="88">
        <f aca="true" t="shared" si="16" ref="AB35:AB41">AC35+AD35</f>
        <v>88500</v>
      </c>
      <c r="AC35" s="86">
        <f>W35+Z35</f>
        <v>88500</v>
      </c>
      <c r="AD35" s="87">
        <f>AA35+X35</f>
        <v>0</v>
      </c>
      <c r="AF35" s="46">
        <f t="shared" si="2"/>
        <v>0</v>
      </c>
      <c r="AG35" s="46"/>
    </row>
    <row r="36" spans="1:33" ht="12.75" hidden="1">
      <c r="A36" s="65"/>
      <c r="B36" s="89"/>
      <c r="C36" s="90" t="s">
        <v>31</v>
      </c>
      <c r="D36" s="91">
        <v>0</v>
      </c>
      <c r="E36" s="92">
        <v>0</v>
      </c>
      <c r="F36" s="93">
        <v>0</v>
      </c>
      <c r="G36" s="91">
        <f t="shared" si="9"/>
        <v>0</v>
      </c>
      <c r="H36" s="92"/>
      <c r="I36" s="93"/>
      <c r="J36" s="91">
        <f t="shared" si="10"/>
        <v>0</v>
      </c>
      <c r="K36" s="92">
        <f>E36+H36</f>
        <v>0</v>
      </c>
      <c r="L36" s="93">
        <f>I36+F36</f>
        <v>0</v>
      </c>
      <c r="M36" s="91">
        <f t="shared" si="11"/>
        <v>0</v>
      </c>
      <c r="N36" s="92"/>
      <c r="O36" s="93"/>
      <c r="P36" s="91">
        <f t="shared" si="12"/>
        <v>0</v>
      </c>
      <c r="Q36" s="92">
        <f>K36+N36</f>
        <v>0</v>
      </c>
      <c r="R36" s="93">
        <f>O36+L36</f>
        <v>0</v>
      </c>
      <c r="S36" s="91">
        <f t="shared" si="13"/>
        <v>0</v>
      </c>
      <c r="T36" s="92"/>
      <c r="U36" s="93"/>
      <c r="V36" s="91">
        <f t="shared" si="14"/>
        <v>0</v>
      </c>
      <c r="W36" s="92">
        <f>Q36+T36</f>
        <v>0</v>
      </c>
      <c r="X36" s="93">
        <f>U36+R36</f>
        <v>0</v>
      </c>
      <c r="Y36" s="91">
        <f t="shared" si="15"/>
        <v>0</v>
      </c>
      <c r="Z36" s="92"/>
      <c r="AA36" s="93"/>
      <c r="AB36" s="91">
        <f t="shared" si="16"/>
        <v>0</v>
      </c>
      <c r="AC36" s="92">
        <f>W36+Z36</f>
        <v>0</v>
      </c>
      <c r="AD36" s="93">
        <f>AA36+X36</f>
        <v>0</v>
      </c>
      <c r="AF36" s="46">
        <f t="shared" si="2"/>
        <v>0</v>
      </c>
      <c r="AG36" s="46"/>
    </row>
    <row r="37" spans="1:33" ht="12.75" hidden="1">
      <c r="A37" s="65"/>
      <c r="B37" s="89"/>
      <c r="C37" s="90" t="s">
        <v>32</v>
      </c>
      <c r="D37" s="91">
        <v>0</v>
      </c>
      <c r="E37" s="92">
        <v>0</v>
      </c>
      <c r="F37" s="93">
        <v>0</v>
      </c>
      <c r="G37" s="91">
        <f t="shared" si="9"/>
        <v>0</v>
      </c>
      <c r="H37" s="92"/>
      <c r="I37" s="93"/>
      <c r="J37" s="91">
        <f t="shared" si="10"/>
        <v>0</v>
      </c>
      <c r="K37" s="92">
        <f>E37+H37</f>
        <v>0</v>
      </c>
      <c r="L37" s="93">
        <f>I37+F37</f>
        <v>0</v>
      </c>
      <c r="M37" s="91">
        <f t="shared" si="11"/>
        <v>0</v>
      </c>
      <c r="N37" s="92"/>
      <c r="O37" s="93"/>
      <c r="P37" s="91">
        <f t="shared" si="12"/>
        <v>0</v>
      </c>
      <c r="Q37" s="92">
        <f>K37+N37</f>
        <v>0</v>
      </c>
      <c r="R37" s="93">
        <f>O37+L37</f>
        <v>0</v>
      </c>
      <c r="S37" s="91">
        <f t="shared" si="13"/>
        <v>0</v>
      </c>
      <c r="T37" s="92"/>
      <c r="U37" s="93"/>
      <c r="V37" s="91">
        <f t="shared" si="14"/>
        <v>0</v>
      </c>
      <c r="W37" s="92">
        <f>Q37+T37</f>
        <v>0</v>
      </c>
      <c r="X37" s="93">
        <f>U37+R37</f>
        <v>0</v>
      </c>
      <c r="Y37" s="91">
        <f t="shared" si="15"/>
        <v>0</v>
      </c>
      <c r="Z37" s="92"/>
      <c r="AA37" s="93"/>
      <c r="AB37" s="91">
        <f t="shared" si="16"/>
        <v>0</v>
      </c>
      <c r="AC37" s="92">
        <f>W37+Z37</f>
        <v>0</v>
      </c>
      <c r="AD37" s="93">
        <f>AA37+X37</f>
        <v>0</v>
      </c>
      <c r="AF37" s="46">
        <f t="shared" si="2"/>
        <v>0</v>
      </c>
      <c r="AG37" s="46"/>
    </row>
    <row r="38" spans="1:33" s="100" customFormat="1" ht="12.75">
      <c r="A38" s="94"/>
      <c r="B38" s="95"/>
      <c r="C38" s="96" t="s">
        <v>33</v>
      </c>
      <c r="D38" s="97">
        <v>39380</v>
      </c>
      <c r="E38" s="98">
        <v>39380</v>
      </c>
      <c r="F38" s="99">
        <v>0</v>
      </c>
      <c r="G38" s="97">
        <f t="shared" si="9"/>
        <v>0</v>
      </c>
      <c r="H38" s="98"/>
      <c r="I38" s="99">
        <v>0</v>
      </c>
      <c r="J38" s="97">
        <f t="shared" si="10"/>
        <v>39380</v>
      </c>
      <c r="K38" s="98">
        <f>E38+H38</f>
        <v>39380</v>
      </c>
      <c r="L38" s="99">
        <f>I38+F38</f>
        <v>0</v>
      </c>
      <c r="M38" s="97">
        <f t="shared" si="11"/>
        <v>0</v>
      </c>
      <c r="N38" s="98"/>
      <c r="O38" s="99">
        <v>0</v>
      </c>
      <c r="P38" s="97">
        <f t="shared" si="12"/>
        <v>39380</v>
      </c>
      <c r="Q38" s="98">
        <f>K38+N38</f>
        <v>39380</v>
      </c>
      <c r="R38" s="99">
        <f>O38+L38</f>
        <v>0</v>
      </c>
      <c r="S38" s="97">
        <f t="shared" si="13"/>
        <v>1840</v>
      </c>
      <c r="T38" s="98">
        <v>1840</v>
      </c>
      <c r="U38" s="99">
        <v>0</v>
      </c>
      <c r="V38" s="97">
        <f t="shared" si="14"/>
        <v>41220</v>
      </c>
      <c r="W38" s="98">
        <f>Q38+T38</f>
        <v>41220</v>
      </c>
      <c r="X38" s="99">
        <f>U38+R38</f>
        <v>0</v>
      </c>
      <c r="Y38" s="97">
        <f t="shared" si="15"/>
        <v>0</v>
      </c>
      <c r="Z38" s="98"/>
      <c r="AA38" s="99"/>
      <c r="AB38" s="97">
        <f t="shared" si="16"/>
        <v>41220</v>
      </c>
      <c r="AC38" s="98">
        <f>W38+Z38</f>
        <v>41220</v>
      </c>
      <c r="AD38" s="99">
        <f>AA38+X38</f>
        <v>0</v>
      </c>
      <c r="AF38" s="46">
        <f t="shared" si="2"/>
        <v>0</v>
      </c>
      <c r="AG38" s="46"/>
    </row>
    <row r="39" spans="1:33" ht="22.5" customHeight="1">
      <c r="A39" s="65"/>
      <c r="B39" s="101">
        <v>400</v>
      </c>
      <c r="C39" s="102" t="s">
        <v>34</v>
      </c>
      <c r="D39" s="103">
        <v>0</v>
      </c>
      <c r="E39" s="104">
        <v>0</v>
      </c>
      <c r="F39" s="105">
        <v>0</v>
      </c>
      <c r="G39" s="103">
        <f t="shared" si="9"/>
        <v>145000</v>
      </c>
      <c r="H39" s="104">
        <f>H40</f>
        <v>0</v>
      </c>
      <c r="I39" s="105">
        <f>I40</f>
        <v>145000</v>
      </c>
      <c r="J39" s="103">
        <f t="shared" si="10"/>
        <v>145000</v>
      </c>
      <c r="K39" s="104">
        <f>K40</f>
        <v>0</v>
      </c>
      <c r="L39" s="105">
        <f>L40</f>
        <v>145000</v>
      </c>
      <c r="M39" s="103">
        <f t="shared" si="11"/>
        <v>0</v>
      </c>
      <c r="N39" s="104">
        <f>N40</f>
        <v>0</v>
      </c>
      <c r="O39" s="105">
        <f>O40</f>
        <v>0</v>
      </c>
      <c r="P39" s="103">
        <f t="shared" si="12"/>
        <v>145000</v>
      </c>
      <c r="Q39" s="104">
        <f>Q40</f>
        <v>0</v>
      </c>
      <c r="R39" s="105">
        <f>R40</f>
        <v>145000</v>
      </c>
      <c r="S39" s="103">
        <f t="shared" si="13"/>
        <v>0</v>
      </c>
      <c r="T39" s="104">
        <f>T40</f>
        <v>0</v>
      </c>
      <c r="U39" s="105">
        <f>U40</f>
        <v>0</v>
      </c>
      <c r="V39" s="103">
        <f t="shared" si="14"/>
        <v>145000</v>
      </c>
      <c r="W39" s="104">
        <f>W40</f>
        <v>0</v>
      </c>
      <c r="X39" s="105">
        <f>X40</f>
        <v>145000</v>
      </c>
      <c r="Y39" s="103">
        <f t="shared" si="15"/>
        <v>0</v>
      </c>
      <c r="Z39" s="104">
        <f>Z40</f>
        <v>0</v>
      </c>
      <c r="AA39" s="105">
        <f>AA40</f>
        <v>0</v>
      </c>
      <c r="AB39" s="103">
        <f t="shared" si="16"/>
        <v>145000</v>
      </c>
      <c r="AC39" s="104">
        <f>AC40</f>
        <v>0</v>
      </c>
      <c r="AD39" s="105">
        <f>AD40</f>
        <v>145000</v>
      </c>
      <c r="AF39" s="46">
        <f t="shared" si="2"/>
        <v>0</v>
      </c>
      <c r="AG39" s="46"/>
    </row>
    <row r="40" spans="1:33" ht="12.75" customHeight="1">
      <c r="A40" s="65"/>
      <c r="B40" s="106">
        <v>40002</v>
      </c>
      <c r="C40" s="83" t="s">
        <v>35</v>
      </c>
      <c r="D40" s="80">
        <v>0</v>
      </c>
      <c r="E40" s="81">
        <v>0</v>
      </c>
      <c r="F40" s="82">
        <v>0</v>
      </c>
      <c r="G40" s="80">
        <f t="shared" si="9"/>
        <v>145000</v>
      </c>
      <c r="H40" s="81">
        <v>0</v>
      </c>
      <c r="I40" s="82">
        <v>145000</v>
      </c>
      <c r="J40" s="80">
        <f t="shared" si="10"/>
        <v>145000</v>
      </c>
      <c r="K40" s="81">
        <f>E40+H40</f>
        <v>0</v>
      </c>
      <c r="L40" s="82">
        <f>I40+F40</f>
        <v>145000</v>
      </c>
      <c r="M40" s="80">
        <f t="shared" si="11"/>
        <v>0</v>
      </c>
      <c r="N40" s="81">
        <v>0</v>
      </c>
      <c r="O40" s="82">
        <v>0</v>
      </c>
      <c r="P40" s="80">
        <f t="shared" si="12"/>
        <v>145000</v>
      </c>
      <c r="Q40" s="81">
        <f>K40+N40</f>
        <v>0</v>
      </c>
      <c r="R40" s="82">
        <f>O40+L40</f>
        <v>145000</v>
      </c>
      <c r="S40" s="80">
        <f t="shared" si="13"/>
        <v>0</v>
      </c>
      <c r="T40" s="81">
        <v>0</v>
      </c>
      <c r="U40" s="82">
        <v>0</v>
      </c>
      <c r="V40" s="80">
        <f t="shared" si="14"/>
        <v>145000</v>
      </c>
      <c r="W40" s="81">
        <f>Q40+T40</f>
        <v>0</v>
      </c>
      <c r="X40" s="82">
        <f>U40+R40</f>
        <v>145000</v>
      </c>
      <c r="Y40" s="80">
        <f t="shared" si="15"/>
        <v>0</v>
      </c>
      <c r="Z40" s="81"/>
      <c r="AA40" s="82"/>
      <c r="AB40" s="80">
        <f t="shared" si="16"/>
        <v>145000</v>
      </c>
      <c r="AC40" s="81">
        <f>W40+Z40</f>
        <v>0</v>
      </c>
      <c r="AD40" s="82">
        <f>AA40+X40</f>
        <v>145000</v>
      </c>
      <c r="AF40" s="46">
        <f t="shared" si="2"/>
        <v>0</v>
      </c>
      <c r="AG40" s="46"/>
    </row>
    <row r="41" spans="1:33" ht="12.75">
      <c r="A41" s="65"/>
      <c r="B41" s="101">
        <v>600</v>
      </c>
      <c r="C41" s="107" t="s">
        <v>36</v>
      </c>
      <c r="D41" s="103">
        <v>265131464</v>
      </c>
      <c r="E41" s="104">
        <v>185629070</v>
      </c>
      <c r="F41" s="105">
        <v>79502394</v>
      </c>
      <c r="G41" s="103">
        <f t="shared" si="9"/>
        <v>7970000</v>
      </c>
      <c r="H41" s="104">
        <f>H42+H45+H53+H50</f>
        <v>0</v>
      </c>
      <c r="I41" s="105">
        <f>I42+I45+I53+I50</f>
        <v>7970000</v>
      </c>
      <c r="J41" s="103">
        <f t="shared" si="10"/>
        <v>273101464</v>
      </c>
      <c r="K41" s="104">
        <f>K42+K45+K53+K50</f>
        <v>185629070</v>
      </c>
      <c r="L41" s="105">
        <f>L42+L45+L53+L50</f>
        <v>87472394</v>
      </c>
      <c r="M41" s="103">
        <f t="shared" si="11"/>
        <v>0</v>
      </c>
      <c r="N41" s="104">
        <f>N42+N45+N53+N50</f>
        <v>0</v>
      </c>
      <c r="O41" s="105">
        <f>O42+O45+O53+O50</f>
        <v>0</v>
      </c>
      <c r="P41" s="103">
        <f t="shared" si="12"/>
        <v>273101464</v>
      </c>
      <c r="Q41" s="104">
        <f>Q42+Q45+Q53+Q50</f>
        <v>185629070</v>
      </c>
      <c r="R41" s="105">
        <f>R42+R45+R53+R50</f>
        <v>87472394</v>
      </c>
      <c r="S41" s="103">
        <f t="shared" si="13"/>
        <v>5009430</v>
      </c>
      <c r="T41" s="104">
        <f>T42+T45+T53+T50</f>
        <v>6304430</v>
      </c>
      <c r="U41" s="105">
        <f>U42+U45+U53+U50</f>
        <v>-1295000</v>
      </c>
      <c r="V41" s="103">
        <f t="shared" si="14"/>
        <v>278110894</v>
      </c>
      <c r="W41" s="104">
        <f>W42+W45+W53+W50</f>
        <v>191933500</v>
      </c>
      <c r="X41" s="105">
        <f>X42+X45+X53+X50</f>
        <v>86177394</v>
      </c>
      <c r="Y41" s="103">
        <f t="shared" si="15"/>
        <v>0</v>
      </c>
      <c r="Z41" s="104">
        <f>Z42+Z45+Z53+Z50</f>
        <v>0</v>
      </c>
      <c r="AA41" s="105">
        <f>AA42+AA45+AA53+AA50</f>
        <v>0</v>
      </c>
      <c r="AB41" s="103">
        <f t="shared" si="16"/>
        <v>278110894</v>
      </c>
      <c r="AC41" s="104">
        <f>AC42+AC45+AC53+AC50</f>
        <v>191933500</v>
      </c>
      <c r="AD41" s="105">
        <f>AD42+AD45+AD53+AD50</f>
        <v>86177394</v>
      </c>
      <c r="AF41" s="46">
        <f t="shared" si="2"/>
        <v>0</v>
      </c>
      <c r="AG41" s="46"/>
    </row>
    <row r="42" spans="1:33" ht="12.75">
      <c r="A42" s="65"/>
      <c r="B42" s="106">
        <v>60004</v>
      </c>
      <c r="C42" s="83" t="s">
        <v>37</v>
      </c>
      <c r="D42" s="80">
        <v>141634238</v>
      </c>
      <c r="E42" s="81">
        <v>141634238</v>
      </c>
      <c r="F42" s="82">
        <v>0</v>
      </c>
      <c r="G42" s="80">
        <f>+G43</f>
        <v>0</v>
      </c>
      <c r="H42" s="81">
        <f>SUM(H43:H44)</f>
        <v>0</v>
      </c>
      <c r="I42" s="82">
        <f>SUM(I43:I44)</f>
        <v>0</v>
      </c>
      <c r="J42" s="80">
        <f>+J43</f>
        <v>141634238</v>
      </c>
      <c r="K42" s="81">
        <f>E42+H42</f>
        <v>141634238</v>
      </c>
      <c r="L42" s="82">
        <f>I42+F42</f>
        <v>0</v>
      </c>
      <c r="M42" s="80">
        <f>+M43</f>
        <v>0</v>
      </c>
      <c r="N42" s="81">
        <f>SUM(N43:N44)</f>
        <v>0</v>
      </c>
      <c r="O42" s="82">
        <f>SUM(O43:O44)</f>
        <v>0</v>
      </c>
      <c r="P42" s="80">
        <f>+P43</f>
        <v>141634238</v>
      </c>
      <c r="Q42" s="81">
        <f>K42+N42</f>
        <v>141634238</v>
      </c>
      <c r="R42" s="82">
        <f>O42+L42</f>
        <v>0</v>
      </c>
      <c r="S42" s="80">
        <f>+S43</f>
        <v>0</v>
      </c>
      <c r="T42" s="81">
        <f>SUM(T43:T44)</f>
        <v>0</v>
      </c>
      <c r="U42" s="82">
        <f>SUM(U43:U44)</f>
        <v>0</v>
      </c>
      <c r="V42" s="80">
        <f>+V43</f>
        <v>141634238</v>
      </c>
      <c r="W42" s="81">
        <f>Q42+T42</f>
        <v>141634238</v>
      </c>
      <c r="X42" s="82">
        <f>U42+R42</f>
        <v>0</v>
      </c>
      <c r="Y42" s="80">
        <f>+Y43</f>
        <v>0</v>
      </c>
      <c r="Z42" s="81">
        <f>SUM(Z43:Z44)</f>
        <v>0</v>
      </c>
      <c r="AA42" s="82">
        <f>SUM(AA43:AA44)</f>
        <v>0</v>
      </c>
      <c r="AB42" s="80">
        <f>+AB43</f>
        <v>141634238</v>
      </c>
      <c r="AC42" s="81">
        <f>W42+Z42</f>
        <v>141634238</v>
      </c>
      <c r="AD42" s="82">
        <f>AA42+X42</f>
        <v>0</v>
      </c>
      <c r="AF42" s="46">
        <f t="shared" si="2"/>
        <v>0</v>
      </c>
      <c r="AG42" s="46"/>
    </row>
    <row r="43" spans="1:33" ht="12.75">
      <c r="A43" s="65"/>
      <c r="B43" s="108"/>
      <c r="C43" s="90" t="s">
        <v>38</v>
      </c>
      <c r="D43" s="80">
        <v>141634238</v>
      </c>
      <c r="E43" s="81">
        <v>141634238</v>
      </c>
      <c r="F43" s="82">
        <v>0</v>
      </c>
      <c r="G43" s="80">
        <f>H43+I43</f>
        <v>0</v>
      </c>
      <c r="H43" s="81"/>
      <c r="I43" s="82">
        <v>0</v>
      </c>
      <c r="J43" s="80">
        <f>K43+L43</f>
        <v>141634238</v>
      </c>
      <c r="K43" s="81">
        <f>E43+H43</f>
        <v>141634238</v>
      </c>
      <c r="L43" s="82">
        <f>I43+F43</f>
        <v>0</v>
      </c>
      <c r="M43" s="80">
        <f>N43+O43</f>
        <v>0</v>
      </c>
      <c r="N43" s="81"/>
      <c r="O43" s="82">
        <v>0</v>
      </c>
      <c r="P43" s="80">
        <f>Q43+R43</f>
        <v>141634238</v>
      </c>
      <c r="Q43" s="81">
        <f>K43+N43</f>
        <v>141634238</v>
      </c>
      <c r="R43" s="82">
        <f>O43+L43</f>
        <v>0</v>
      </c>
      <c r="S43" s="80">
        <f>T43+U43</f>
        <v>0</v>
      </c>
      <c r="T43" s="81"/>
      <c r="U43" s="82">
        <v>0</v>
      </c>
      <c r="V43" s="80">
        <f>W43+X43</f>
        <v>141634238</v>
      </c>
      <c r="W43" s="81">
        <f>Q43+T43</f>
        <v>141634238</v>
      </c>
      <c r="X43" s="82">
        <f>U43+R43</f>
        <v>0</v>
      </c>
      <c r="Y43" s="80">
        <f>Z43+AA43</f>
        <v>0</v>
      </c>
      <c r="Z43" s="81"/>
      <c r="AA43" s="82"/>
      <c r="AB43" s="80">
        <f>AC43+AD43</f>
        <v>141634238</v>
      </c>
      <c r="AC43" s="81">
        <f>W43+Z43</f>
        <v>141634238</v>
      </c>
      <c r="AD43" s="82">
        <f>AA43+X43</f>
        <v>0</v>
      </c>
      <c r="AF43" s="46">
        <f t="shared" si="2"/>
        <v>0</v>
      </c>
      <c r="AG43" s="46"/>
    </row>
    <row r="44" spans="1:33" s="100" customFormat="1" ht="12.75" hidden="1">
      <c r="A44" s="94"/>
      <c r="B44" s="109"/>
      <c r="C44" s="110" t="s">
        <v>39</v>
      </c>
      <c r="D44" s="97">
        <v>0</v>
      </c>
      <c r="E44" s="111">
        <v>0</v>
      </c>
      <c r="F44" s="99">
        <v>0</v>
      </c>
      <c r="G44" s="97">
        <f>H44+I44</f>
        <v>0</v>
      </c>
      <c r="H44" s="111">
        <v>0</v>
      </c>
      <c r="I44" s="99">
        <v>0</v>
      </c>
      <c r="J44" s="97">
        <f>K44+L44</f>
        <v>0</v>
      </c>
      <c r="K44" s="111">
        <v>0</v>
      </c>
      <c r="L44" s="99">
        <v>0</v>
      </c>
      <c r="M44" s="97">
        <f>N44+O44</f>
        <v>0</v>
      </c>
      <c r="N44" s="111">
        <v>0</v>
      </c>
      <c r="O44" s="99">
        <v>0</v>
      </c>
      <c r="P44" s="97">
        <f>Q44+R44</f>
        <v>0</v>
      </c>
      <c r="Q44" s="111">
        <v>0</v>
      </c>
      <c r="R44" s="99">
        <v>0</v>
      </c>
      <c r="S44" s="97">
        <f>T44+U44</f>
        <v>0</v>
      </c>
      <c r="T44" s="111">
        <v>0</v>
      </c>
      <c r="U44" s="99">
        <v>0</v>
      </c>
      <c r="V44" s="97">
        <f>W44+X44</f>
        <v>0</v>
      </c>
      <c r="W44" s="111">
        <v>0</v>
      </c>
      <c r="X44" s="99">
        <v>0</v>
      </c>
      <c r="Y44" s="97">
        <f>Z44+AA44</f>
        <v>0</v>
      </c>
      <c r="Z44" s="111">
        <v>0</v>
      </c>
      <c r="AA44" s="99">
        <v>0</v>
      </c>
      <c r="AB44" s="97">
        <f>AC44+AD44</f>
        <v>0</v>
      </c>
      <c r="AC44" s="111">
        <v>0</v>
      </c>
      <c r="AD44" s="99">
        <v>0</v>
      </c>
      <c r="AF44" s="46">
        <f t="shared" si="2"/>
        <v>0</v>
      </c>
      <c r="AG44" s="46"/>
    </row>
    <row r="45" spans="1:33" ht="12.75">
      <c r="A45" s="65"/>
      <c r="B45" s="106">
        <v>60016</v>
      </c>
      <c r="C45" s="83" t="s">
        <v>40</v>
      </c>
      <c r="D45" s="112">
        <v>80214156</v>
      </c>
      <c r="E45" s="113">
        <v>40693762</v>
      </c>
      <c r="F45" s="114">
        <v>39520394</v>
      </c>
      <c r="G45" s="112">
        <f>G46+G48+G49</f>
        <v>2000000</v>
      </c>
      <c r="H45" s="113">
        <f>SUM(H46:H49)</f>
        <v>0</v>
      </c>
      <c r="I45" s="114">
        <f>SUM(I46:I49)</f>
        <v>2000000</v>
      </c>
      <c r="J45" s="112">
        <f>J46+J48+J49</f>
        <v>82214156</v>
      </c>
      <c r="K45" s="113">
        <f aca="true" t="shared" si="17" ref="K45:K57">E45+H45</f>
        <v>40693762</v>
      </c>
      <c r="L45" s="114">
        <f aca="true" t="shared" si="18" ref="L45:L57">I45+F45</f>
        <v>41520394</v>
      </c>
      <c r="M45" s="112">
        <f>M46+M48+M49</f>
        <v>0</v>
      </c>
      <c r="N45" s="113">
        <f>SUM(N46:N49)</f>
        <v>0</v>
      </c>
      <c r="O45" s="114">
        <f>SUM(O46:O49)</f>
        <v>0</v>
      </c>
      <c r="P45" s="112">
        <f>P46+P48+P49</f>
        <v>82214156</v>
      </c>
      <c r="Q45" s="113">
        <f aca="true" t="shared" si="19" ref="Q45:Q57">K45+N45</f>
        <v>40693762</v>
      </c>
      <c r="R45" s="114">
        <f aca="true" t="shared" si="20" ref="R45:R57">O45+L45</f>
        <v>41520394</v>
      </c>
      <c r="S45" s="112">
        <f>S46+S48+S49</f>
        <v>6999430</v>
      </c>
      <c r="T45" s="113">
        <f>SUM(T46:T49)</f>
        <v>6294430</v>
      </c>
      <c r="U45" s="114">
        <f>SUM(U46:U49)</f>
        <v>705000</v>
      </c>
      <c r="V45" s="112">
        <f>V46+V48+V49</f>
        <v>89213586</v>
      </c>
      <c r="W45" s="113">
        <f aca="true" t="shared" si="21" ref="W45:W57">Q45+T45</f>
        <v>46988192</v>
      </c>
      <c r="X45" s="114">
        <f aca="true" t="shared" si="22" ref="X45:X57">U45+R45</f>
        <v>42225394</v>
      </c>
      <c r="Y45" s="112">
        <f>Y46+Y48+Y49</f>
        <v>0</v>
      </c>
      <c r="Z45" s="113">
        <f>SUM(Z46:Z49)</f>
        <v>0</v>
      </c>
      <c r="AA45" s="114">
        <f>SUM(AA46:AA49)</f>
        <v>0</v>
      </c>
      <c r="AB45" s="112">
        <f>AB46+AB48+AB49</f>
        <v>89213586</v>
      </c>
      <c r="AC45" s="113">
        <f aca="true" t="shared" si="23" ref="AC45:AC57">W45+Z45</f>
        <v>46988192</v>
      </c>
      <c r="AD45" s="114">
        <f aca="true" t="shared" si="24" ref="AD45:AD57">AA45+X45</f>
        <v>42225394</v>
      </c>
      <c r="AF45" s="46">
        <f t="shared" si="2"/>
        <v>0</v>
      </c>
      <c r="AG45" s="46"/>
    </row>
    <row r="46" spans="1:33" s="120" customFormat="1" ht="12" customHeight="1">
      <c r="A46" s="65"/>
      <c r="B46" s="115"/>
      <c r="C46" s="116" t="s">
        <v>41</v>
      </c>
      <c r="D46" s="117">
        <v>77509150</v>
      </c>
      <c r="E46" s="118">
        <v>40536150</v>
      </c>
      <c r="F46" s="119">
        <v>36973000</v>
      </c>
      <c r="G46" s="117">
        <f aca="true" t="shared" si="25" ref="G46:G52">H46+I46</f>
        <v>2000000</v>
      </c>
      <c r="H46" s="118"/>
      <c r="I46" s="119">
        <v>2000000</v>
      </c>
      <c r="J46" s="117">
        <f aca="true" t="shared" si="26" ref="J46:J52">K46+L46</f>
        <v>79509150</v>
      </c>
      <c r="K46" s="118">
        <f t="shared" si="17"/>
        <v>40536150</v>
      </c>
      <c r="L46" s="119">
        <f t="shared" si="18"/>
        <v>38973000</v>
      </c>
      <c r="M46" s="117">
        <f aca="true" t="shared" si="27" ref="M46:M52">N46+O46</f>
        <v>0</v>
      </c>
      <c r="N46" s="118"/>
      <c r="O46" s="119">
        <v>0</v>
      </c>
      <c r="P46" s="117">
        <f aca="true" t="shared" si="28" ref="P46:P52">Q46+R46</f>
        <v>79509150</v>
      </c>
      <c r="Q46" s="118">
        <f t="shared" si="19"/>
        <v>40536150</v>
      </c>
      <c r="R46" s="119">
        <f t="shared" si="20"/>
        <v>38973000</v>
      </c>
      <c r="S46" s="117">
        <f aca="true" t="shared" si="29" ref="S46:S52">T46+U46</f>
        <v>7059000</v>
      </c>
      <c r="T46" s="118">
        <f>6314000+23500+16500</f>
        <v>6354000</v>
      </c>
      <c r="U46" s="119">
        <f>700000+5000</f>
        <v>705000</v>
      </c>
      <c r="V46" s="117">
        <f aca="true" t="shared" si="30" ref="V46:V52">W46+X46</f>
        <v>86568150</v>
      </c>
      <c r="W46" s="118">
        <f t="shared" si="21"/>
        <v>46890150</v>
      </c>
      <c r="X46" s="119">
        <f t="shared" si="22"/>
        <v>39678000</v>
      </c>
      <c r="Y46" s="117">
        <f aca="true" t="shared" si="31" ref="Y46:Y52">Z46+AA46</f>
        <v>0</v>
      </c>
      <c r="Z46" s="118"/>
      <c r="AA46" s="119"/>
      <c r="AB46" s="117">
        <f aca="true" t="shared" si="32" ref="AB46:AB52">AC46+AD46</f>
        <v>86568150</v>
      </c>
      <c r="AC46" s="118">
        <f t="shared" si="23"/>
        <v>46890150</v>
      </c>
      <c r="AD46" s="119">
        <f t="shared" si="24"/>
        <v>39678000</v>
      </c>
      <c r="AF46" s="46">
        <f t="shared" si="2"/>
        <v>0</v>
      </c>
      <c r="AG46" s="46"/>
    </row>
    <row r="47" spans="1:33" s="9" customFormat="1" ht="13.5" customHeight="1" hidden="1">
      <c r="A47" s="121"/>
      <c r="B47" s="108"/>
      <c r="C47" s="122" t="s">
        <v>42</v>
      </c>
      <c r="D47" s="123">
        <v>0</v>
      </c>
      <c r="E47" s="124">
        <v>0</v>
      </c>
      <c r="F47" s="125">
        <v>0</v>
      </c>
      <c r="G47" s="123">
        <f t="shared" si="25"/>
        <v>0</v>
      </c>
      <c r="H47" s="124"/>
      <c r="I47" s="125"/>
      <c r="J47" s="123">
        <f t="shared" si="26"/>
        <v>0</v>
      </c>
      <c r="K47" s="124">
        <f t="shared" si="17"/>
        <v>0</v>
      </c>
      <c r="L47" s="125">
        <f t="shared" si="18"/>
        <v>0</v>
      </c>
      <c r="M47" s="123">
        <f t="shared" si="27"/>
        <v>0</v>
      </c>
      <c r="N47" s="124"/>
      <c r="O47" s="125"/>
      <c r="P47" s="123">
        <f t="shared" si="28"/>
        <v>0</v>
      </c>
      <c r="Q47" s="124">
        <f t="shared" si="19"/>
        <v>0</v>
      </c>
      <c r="R47" s="125">
        <f t="shared" si="20"/>
        <v>0</v>
      </c>
      <c r="S47" s="123">
        <f t="shared" si="29"/>
        <v>0</v>
      </c>
      <c r="T47" s="124"/>
      <c r="U47" s="125"/>
      <c r="V47" s="123">
        <f t="shared" si="30"/>
        <v>0</v>
      </c>
      <c r="W47" s="124">
        <f t="shared" si="21"/>
        <v>0</v>
      </c>
      <c r="X47" s="125">
        <f t="shared" si="22"/>
        <v>0</v>
      </c>
      <c r="Y47" s="123">
        <f t="shared" si="31"/>
        <v>0</v>
      </c>
      <c r="Z47" s="124"/>
      <c r="AA47" s="125"/>
      <c r="AB47" s="123">
        <f t="shared" si="32"/>
        <v>0</v>
      </c>
      <c r="AC47" s="124">
        <f t="shared" si="23"/>
        <v>0</v>
      </c>
      <c r="AD47" s="125">
        <f t="shared" si="24"/>
        <v>0</v>
      </c>
      <c r="AF47" s="46">
        <f t="shared" si="2"/>
        <v>0</v>
      </c>
      <c r="AG47" s="46"/>
    </row>
    <row r="48" spans="1:33" s="120" customFormat="1" ht="12.75">
      <c r="A48" s="65"/>
      <c r="B48" s="115"/>
      <c r="C48" s="90" t="s">
        <v>43</v>
      </c>
      <c r="D48" s="117">
        <v>2500000</v>
      </c>
      <c r="E48" s="118">
        <v>0</v>
      </c>
      <c r="F48" s="119">
        <v>2500000</v>
      </c>
      <c r="G48" s="117">
        <f t="shared" si="25"/>
        <v>0</v>
      </c>
      <c r="H48" s="118"/>
      <c r="I48" s="119"/>
      <c r="J48" s="117">
        <f t="shared" si="26"/>
        <v>2500000</v>
      </c>
      <c r="K48" s="118">
        <f t="shared" si="17"/>
        <v>0</v>
      </c>
      <c r="L48" s="119">
        <f t="shared" si="18"/>
        <v>2500000</v>
      </c>
      <c r="M48" s="117">
        <f t="shared" si="27"/>
        <v>0</v>
      </c>
      <c r="N48" s="118"/>
      <c r="O48" s="119"/>
      <c r="P48" s="117">
        <f t="shared" si="28"/>
        <v>2500000</v>
      </c>
      <c r="Q48" s="118">
        <f t="shared" si="19"/>
        <v>0</v>
      </c>
      <c r="R48" s="119">
        <f t="shared" si="20"/>
        <v>2500000</v>
      </c>
      <c r="S48" s="117">
        <f t="shared" si="29"/>
        <v>0</v>
      </c>
      <c r="T48" s="118"/>
      <c r="U48" s="119"/>
      <c r="V48" s="117">
        <f t="shared" si="30"/>
        <v>2500000</v>
      </c>
      <c r="W48" s="118">
        <f t="shared" si="21"/>
        <v>0</v>
      </c>
      <c r="X48" s="119">
        <f t="shared" si="22"/>
        <v>2500000</v>
      </c>
      <c r="Y48" s="117">
        <f t="shared" si="31"/>
        <v>0</v>
      </c>
      <c r="Z48" s="118"/>
      <c r="AA48" s="119"/>
      <c r="AB48" s="117">
        <f t="shared" si="32"/>
        <v>2500000</v>
      </c>
      <c r="AC48" s="118">
        <f t="shared" si="23"/>
        <v>0</v>
      </c>
      <c r="AD48" s="119">
        <f t="shared" si="24"/>
        <v>2500000</v>
      </c>
      <c r="AF48" s="46">
        <f t="shared" si="2"/>
        <v>0</v>
      </c>
      <c r="AG48" s="46"/>
    </row>
    <row r="49" spans="1:33" s="100" customFormat="1" ht="12.75">
      <c r="A49" s="94"/>
      <c r="B49" s="126"/>
      <c r="C49" s="96" t="s">
        <v>33</v>
      </c>
      <c r="D49" s="97">
        <v>205006</v>
      </c>
      <c r="E49" s="111">
        <v>157612</v>
      </c>
      <c r="F49" s="127">
        <v>47394</v>
      </c>
      <c r="G49" s="97">
        <f t="shared" si="25"/>
        <v>0</v>
      </c>
      <c r="H49" s="111"/>
      <c r="I49" s="127"/>
      <c r="J49" s="97">
        <f t="shared" si="26"/>
        <v>205006</v>
      </c>
      <c r="K49" s="111">
        <f t="shared" si="17"/>
        <v>157612</v>
      </c>
      <c r="L49" s="127">
        <f t="shared" si="18"/>
        <v>47394</v>
      </c>
      <c r="M49" s="97">
        <f t="shared" si="27"/>
        <v>0</v>
      </c>
      <c r="N49" s="111"/>
      <c r="O49" s="127"/>
      <c r="P49" s="97">
        <f t="shared" si="28"/>
        <v>205006</v>
      </c>
      <c r="Q49" s="111">
        <f t="shared" si="19"/>
        <v>157612</v>
      </c>
      <c r="R49" s="127">
        <f t="shared" si="20"/>
        <v>47394</v>
      </c>
      <c r="S49" s="97">
        <f t="shared" si="29"/>
        <v>-59570</v>
      </c>
      <c r="T49" s="111">
        <v>-59570</v>
      </c>
      <c r="U49" s="127"/>
      <c r="V49" s="97">
        <f t="shared" si="30"/>
        <v>145436</v>
      </c>
      <c r="W49" s="111">
        <f t="shared" si="21"/>
        <v>98042</v>
      </c>
      <c r="X49" s="127">
        <f t="shared" si="22"/>
        <v>47394</v>
      </c>
      <c r="Y49" s="97">
        <f t="shared" si="31"/>
        <v>0</v>
      </c>
      <c r="Z49" s="111"/>
      <c r="AA49" s="127"/>
      <c r="AB49" s="97">
        <f t="shared" si="32"/>
        <v>145436</v>
      </c>
      <c r="AC49" s="111">
        <f t="shared" si="23"/>
        <v>98042</v>
      </c>
      <c r="AD49" s="127">
        <f t="shared" si="24"/>
        <v>47394</v>
      </c>
      <c r="AF49" s="46">
        <f t="shared" si="2"/>
        <v>0</v>
      </c>
      <c r="AG49" s="46"/>
    </row>
    <row r="50" spans="1:33" ht="12.75">
      <c r="A50" s="65"/>
      <c r="B50" s="106">
        <v>60017</v>
      </c>
      <c r="C50" s="83" t="s">
        <v>44</v>
      </c>
      <c r="D50" s="112">
        <v>5080000</v>
      </c>
      <c r="E50" s="113">
        <v>2580000</v>
      </c>
      <c r="F50" s="128">
        <v>2500000</v>
      </c>
      <c r="G50" s="112">
        <f t="shared" si="25"/>
        <v>0</v>
      </c>
      <c r="H50" s="113">
        <f>H52</f>
        <v>0</v>
      </c>
      <c r="I50" s="128">
        <f>I52</f>
        <v>0</v>
      </c>
      <c r="J50" s="112">
        <f t="shared" si="26"/>
        <v>5080000</v>
      </c>
      <c r="K50" s="113">
        <f t="shared" si="17"/>
        <v>2580000</v>
      </c>
      <c r="L50" s="128">
        <f t="shared" si="18"/>
        <v>2500000</v>
      </c>
      <c r="M50" s="112">
        <f t="shared" si="27"/>
        <v>0</v>
      </c>
      <c r="N50" s="113">
        <f>N52</f>
        <v>0</v>
      </c>
      <c r="O50" s="128">
        <f>O52</f>
        <v>0</v>
      </c>
      <c r="P50" s="112">
        <f t="shared" si="28"/>
        <v>5080000</v>
      </c>
      <c r="Q50" s="113">
        <f t="shared" si="19"/>
        <v>2580000</v>
      </c>
      <c r="R50" s="128">
        <f t="shared" si="20"/>
        <v>2500000</v>
      </c>
      <c r="S50" s="112">
        <f t="shared" si="29"/>
        <v>-2000000</v>
      </c>
      <c r="T50" s="113">
        <f>T52</f>
        <v>0</v>
      </c>
      <c r="U50" s="128">
        <f>U52</f>
        <v>-2000000</v>
      </c>
      <c r="V50" s="112">
        <f t="shared" si="30"/>
        <v>3080000</v>
      </c>
      <c r="W50" s="113">
        <f t="shared" si="21"/>
        <v>2580000</v>
      </c>
      <c r="X50" s="128">
        <f t="shared" si="22"/>
        <v>500000</v>
      </c>
      <c r="Y50" s="112">
        <f t="shared" si="31"/>
        <v>0</v>
      </c>
      <c r="Z50" s="113">
        <f>Z52</f>
        <v>0</v>
      </c>
      <c r="AA50" s="128">
        <f>AA52</f>
        <v>0</v>
      </c>
      <c r="AB50" s="112">
        <f t="shared" si="32"/>
        <v>3080000</v>
      </c>
      <c r="AC50" s="113">
        <f t="shared" si="23"/>
        <v>2580000</v>
      </c>
      <c r="AD50" s="128">
        <f t="shared" si="24"/>
        <v>500000</v>
      </c>
      <c r="AF50" s="46">
        <f t="shared" si="2"/>
        <v>0</v>
      </c>
      <c r="AG50" s="46"/>
    </row>
    <row r="51" spans="1:33" s="120" customFormat="1" ht="12.75" hidden="1">
      <c r="A51" s="65"/>
      <c r="B51" s="115"/>
      <c r="C51" s="85" t="s">
        <v>45</v>
      </c>
      <c r="D51" s="117">
        <v>0</v>
      </c>
      <c r="E51" s="118">
        <v>0</v>
      </c>
      <c r="F51" s="119">
        <v>0</v>
      </c>
      <c r="G51" s="117">
        <f t="shared" si="25"/>
        <v>0</v>
      </c>
      <c r="H51" s="118">
        <v>0</v>
      </c>
      <c r="I51" s="119">
        <v>0</v>
      </c>
      <c r="J51" s="117">
        <f t="shared" si="26"/>
        <v>0</v>
      </c>
      <c r="K51" s="118">
        <f t="shared" si="17"/>
        <v>0</v>
      </c>
      <c r="L51" s="119">
        <f t="shared" si="18"/>
        <v>0</v>
      </c>
      <c r="M51" s="117">
        <f t="shared" si="27"/>
        <v>0</v>
      </c>
      <c r="N51" s="118">
        <v>0</v>
      </c>
      <c r="O51" s="119">
        <v>0</v>
      </c>
      <c r="P51" s="117">
        <f t="shared" si="28"/>
        <v>0</v>
      </c>
      <c r="Q51" s="118">
        <f t="shared" si="19"/>
        <v>0</v>
      </c>
      <c r="R51" s="119">
        <f t="shared" si="20"/>
        <v>0</v>
      </c>
      <c r="S51" s="117">
        <f t="shared" si="29"/>
        <v>0</v>
      </c>
      <c r="T51" s="118">
        <v>0</v>
      </c>
      <c r="U51" s="119">
        <v>0</v>
      </c>
      <c r="V51" s="117">
        <f t="shared" si="30"/>
        <v>0</v>
      </c>
      <c r="W51" s="118">
        <f t="shared" si="21"/>
        <v>0</v>
      </c>
      <c r="X51" s="119">
        <f t="shared" si="22"/>
        <v>0</v>
      </c>
      <c r="Y51" s="117">
        <f t="shared" si="31"/>
        <v>0</v>
      </c>
      <c r="Z51" s="118">
        <v>0</v>
      </c>
      <c r="AA51" s="119">
        <v>0</v>
      </c>
      <c r="AB51" s="117">
        <f t="shared" si="32"/>
        <v>0</v>
      </c>
      <c r="AC51" s="118">
        <f t="shared" si="23"/>
        <v>0</v>
      </c>
      <c r="AD51" s="119">
        <f t="shared" si="24"/>
        <v>0</v>
      </c>
      <c r="AF51" s="46">
        <f t="shared" si="2"/>
        <v>0</v>
      </c>
      <c r="AG51" s="46"/>
    </row>
    <row r="52" spans="1:33" s="120" customFormat="1" ht="12.75">
      <c r="A52" s="65"/>
      <c r="B52" s="115"/>
      <c r="C52" s="129" t="s">
        <v>41</v>
      </c>
      <c r="D52" s="117">
        <v>5080000</v>
      </c>
      <c r="E52" s="118">
        <v>2580000</v>
      </c>
      <c r="F52" s="119">
        <v>2500000</v>
      </c>
      <c r="G52" s="117">
        <f t="shared" si="25"/>
        <v>0</v>
      </c>
      <c r="H52" s="118"/>
      <c r="I52" s="119"/>
      <c r="J52" s="117">
        <f t="shared" si="26"/>
        <v>5080000</v>
      </c>
      <c r="K52" s="118">
        <f t="shared" si="17"/>
        <v>2580000</v>
      </c>
      <c r="L52" s="119">
        <f t="shared" si="18"/>
        <v>2500000</v>
      </c>
      <c r="M52" s="117">
        <f t="shared" si="27"/>
        <v>0</v>
      </c>
      <c r="N52" s="118"/>
      <c r="O52" s="119"/>
      <c r="P52" s="117">
        <f t="shared" si="28"/>
        <v>5080000</v>
      </c>
      <c r="Q52" s="118">
        <f t="shared" si="19"/>
        <v>2580000</v>
      </c>
      <c r="R52" s="119">
        <f t="shared" si="20"/>
        <v>2500000</v>
      </c>
      <c r="S52" s="117">
        <f t="shared" si="29"/>
        <v>-2000000</v>
      </c>
      <c r="T52" s="118"/>
      <c r="U52" s="119">
        <v>-2000000</v>
      </c>
      <c r="V52" s="117">
        <f t="shared" si="30"/>
        <v>3080000</v>
      </c>
      <c r="W52" s="118">
        <f t="shared" si="21"/>
        <v>2580000</v>
      </c>
      <c r="X52" s="119">
        <f t="shared" si="22"/>
        <v>500000</v>
      </c>
      <c r="Y52" s="117">
        <f t="shared" si="31"/>
        <v>0</v>
      </c>
      <c r="Z52" s="118"/>
      <c r="AA52" s="119"/>
      <c r="AB52" s="117">
        <f t="shared" si="32"/>
        <v>3080000</v>
      </c>
      <c r="AC52" s="118">
        <f t="shared" si="23"/>
        <v>2580000</v>
      </c>
      <c r="AD52" s="119">
        <f t="shared" si="24"/>
        <v>500000</v>
      </c>
      <c r="AF52" s="46">
        <f t="shared" si="2"/>
        <v>0</v>
      </c>
      <c r="AG52" s="46"/>
    </row>
    <row r="53" spans="1:33" ht="12.75">
      <c r="A53" s="65"/>
      <c r="B53" s="130">
        <v>60095</v>
      </c>
      <c r="C53" s="83" t="s">
        <v>29</v>
      </c>
      <c r="D53" s="80">
        <v>38203070</v>
      </c>
      <c r="E53" s="81">
        <v>721070</v>
      </c>
      <c r="F53" s="82">
        <v>37482000</v>
      </c>
      <c r="G53" s="80">
        <f>G54+G56+G57</f>
        <v>5970000</v>
      </c>
      <c r="H53" s="81">
        <f>H54+H56+H57</f>
        <v>0</v>
      </c>
      <c r="I53" s="82">
        <f>I54+I56+I57</f>
        <v>5970000</v>
      </c>
      <c r="J53" s="80">
        <f>J54+J56+J57</f>
        <v>44173070</v>
      </c>
      <c r="K53" s="81">
        <f t="shared" si="17"/>
        <v>721070</v>
      </c>
      <c r="L53" s="82">
        <f t="shared" si="18"/>
        <v>43452000</v>
      </c>
      <c r="M53" s="80">
        <f>M54+M56+M57</f>
        <v>0</v>
      </c>
      <c r="N53" s="81">
        <f>N54+N56+N57</f>
        <v>0</v>
      </c>
      <c r="O53" s="82">
        <f>O54+O56+O57</f>
        <v>0</v>
      </c>
      <c r="P53" s="80">
        <f>P54+P56+P57</f>
        <v>44173070</v>
      </c>
      <c r="Q53" s="81">
        <f t="shared" si="19"/>
        <v>721070</v>
      </c>
      <c r="R53" s="82">
        <f t="shared" si="20"/>
        <v>43452000</v>
      </c>
      <c r="S53" s="80">
        <f>S54+S56+S57</f>
        <v>10000</v>
      </c>
      <c r="T53" s="81">
        <f>T54+T56+T57</f>
        <v>10000</v>
      </c>
      <c r="U53" s="82">
        <f>U54+U56+U57</f>
        <v>0</v>
      </c>
      <c r="V53" s="80">
        <f>V54+V56+V57</f>
        <v>44183070</v>
      </c>
      <c r="W53" s="81">
        <f t="shared" si="21"/>
        <v>731070</v>
      </c>
      <c r="X53" s="82">
        <f t="shared" si="22"/>
        <v>43452000</v>
      </c>
      <c r="Y53" s="80">
        <f>Y54+Y56+Y57</f>
        <v>0</v>
      </c>
      <c r="Z53" s="81">
        <f>Z54+Z56+Z57</f>
        <v>0</v>
      </c>
      <c r="AA53" s="82">
        <f>AA54+AA56+AA57</f>
        <v>0</v>
      </c>
      <c r="AB53" s="80">
        <f>AB54+AB56+AB57</f>
        <v>44183070</v>
      </c>
      <c r="AC53" s="81">
        <f t="shared" si="23"/>
        <v>731070</v>
      </c>
      <c r="AD53" s="82">
        <f t="shared" si="24"/>
        <v>43452000</v>
      </c>
      <c r="AF53" s="46">
        <f t="shared" si="2"/>
        <v>0</v>
      </c>
      <c r="AG53" s="46"/>
    </row>
    <row r="54" spans="1:33" ht="12.75">
      <c r="A54" s="65"/>
      <c r="B54" s="130"/>
      <c r="C54" s="85" t="s">
        <v>46</v>
      </c>
      <c r="D54" s="88">
        <v>11032000</v>
      </c>
      <c r="E54" s="86">
        <v>650000</v>
      </c>
      <c r="F54" s="87">
        <v>10382000</v>
      </c>
      <c r="G54" s="88">
        <f aca="true" t="shared" si="33" ref="G54:G59">H54+I54</f>
        <v>470000</v>
      </c>
      <c r="H54" s="86"/>
      <c r="I54" s="87">
        <f>I55</f>
        <v>470000</v>
      </c>
      <c r="J54" s="88">
        <f aca="true" t="shared" si="34" ref="J54:J59">K54+L54</f>
        <v>11502000</v>
      </c>
      <c r="K54" s="86">
        <f t="shared" si="17"/>
        <v>650000</v>
      </c>
      <c r="L54" s="87">
        <f t="shared" si="18"/>
        <v>10852000</v>
      </c>
      <c r="M54" s="88">
        <f aca="true" t="shared" si="35" ref="M54:M59">N54+O54</f>
        <v>0</v>
      </c>
      <c r="N54" s="86"/>
      <c r="O54" s="87">
        <f>O55</f>
        <v>0</v>
      </c>
      <c r="P54" s="88">
        <f aca="true" t="shared" si="36" ref="P54:P59">Q54+R54</f>
        <v>11502000</v>
      </c>
      <c r="Q54" s="86">
        <f t="shared" si="19"/>
        <v>650000</v>
      </c>
      <c r="R54" s="87">
        <f t="shared" si="20"/>
        <v>10852000</v>
      </c>
      <c r="S54" s="88">
        <f aca="true" t="shared" si="37" ref="S54:S59">T54+U54</f>
        <v>0</v>
      </c>
      <c r="T54" s="86"/>
      <c r="U54" s="87">
        <f>U55</f>
        <v>0</v>
      </c>
      <c r="V54" s="88">
        <f aca="true" t="shared" si="38" ref="V54:V59">W54+X54</f>
        <v>11502000</v>
      </c>
      <c r="W54" s="86">
        <f t="shared" si="21"/>
        <v>650000</v>
      </c>
      <c r="X54" s="87">
        <f t="shared" si="22"/>
        <v>10852000</v>
      </c>
      <c r="Y54" s="88">
        <f aca="true" t="shared" si="39" ref="Y54:Y59">Z54+AA54</f>
        <v>0</v>
      </c>
      <c r="Z54" s="86"/>
      <c r="AA54" s="87"/>
      <c r="AB54" s="88">
        <f aca="true" t="shared" si="40" ref="AB54:AB59">AC54+AD54</f>
        <v>11502000</v>
      </c>
      <c r="AC54" s="86">
        <f t="shared" si="23"/>
        <v>650000</v>
      </c>
      <c r="AD54" s="87">
        <f t="shared" si="24"/>
        <v>10852000</v>
      </c>
      <c r="AF54" s="46">
        <f t="shared" si="2"/>
        <v>0</v>
      </c>
      <c r="AG54" s="46"/>
    </row>
    <row r="55" spans="1:33" s="9" customFormat="1" ht="13.5" customHeight="1">
      <c r="A55" s="121"/>
      <c r="B55" s="108"/>
      <c r="C55" s="122" t="s">
        <v>42</v>
      </c>
      <c r="D55" s="123">
        <v>10382000</v>
      </c>
      <c r="E55" s="124">
        <v>0</v>
      </c>
      <c r="F55" s="125">
        <v>10382000</v>
      </c>
      <c r="G55" s="123">
        <f t="shared" si="33"/>
        <v>470000</v>
      </c>
      <c r="H55" s="124"/>
      <c r="I55" s="131">
        <v>470000</v>
      </c>
      <c r="J55" s="123">
        <f t="shared" si="34"/>
        <v>10852000</v>
      </c>
      <c r="K55" s="124">
        <f t="shared" si="17"/>
        <v>0</v>
      </c>
      <c r="L55" s="125">
        <f t="shared" si="18"/>
        <v>10852000</v>
      </c>
      <c r="M55" s="123">
        <f t="shared" si="35"/>
        <v>0</v>
      </c>
      <c r="N55" s="124"/>
      <c r="O55" s="125">
        <v>0</v>
      </c>
      <c r="P55" s="123">
        <f t="shared" si="36"/>
        <v>10852000</v>
      </c>
      <c r="Q55" s="124">
        <f t="shared" si="19"/>
        <v>0</v>
      </c>
      <c r="R55" s="125">
        <f t="shared" si="20"/>
        <v>10852000</v>
      </c>
      <c r="S55" s="123">
        <f t="shared" si="37"/>
        <v>0</v>
      </c>
      <c r="T55" s="124"/>
      <c r="U55" s="125">
        <v>0</v>
      </c>
      <c r="V55" s="123">
        <f t="shared" si="38"/>
        <v>10852000</v>
      </c>
      <c r="W55" s="124">
        <f t="shared" si="21"/>
        <v>0</v>
      </c>
      <c r="X55" s="125">
        <f t="shared" si="22"/>
        <v>10852000</v>
      </c>
      <c r="Y55" s="123">
        <f t="shared" si="39"/>
        <v>0</v>
      </c>
      <c r="Z55" s="124"/>
      <c r="AA55" s="125"/>
      <c r="AB55" s="123">
        <f t="shared" si="40"/>
        <v>10852000</v>
      </c>
      <c r="AC55" s="124">
        <f t="shared" si="23"/>
        <v>0</v>
      </c>
      <c r="AD55" s="125">
        <f t="shared" si="24"/>
        <v>10852000</v>
      </c>
      <c r="AF55" s="46">
        <f t="shared" si="2"/>
        <v>0</v>
      </c>
      <c r="AG55" s="46"/>
    </row>
    <row r="56" spans="1:33" ht="12.75">
      <c r="A56" s="65"/>
      <c r="B56" s="108"/>
      <c r="C56" s="90" t="s">
        <v>47</v>
      </c>
      <c r="D56" s="91">
        <v>27100000</v>
      </c>
      <c r="E56" s="118">
        <v>0</v>
      </c>
      <c r="F56" s="119">
        <v>27100000</v>
      </c>
      <c r="G56" s="91">
        <f t="shared" si="33"/>
        <v>5500000</v>
      </c>
      <c r="H56" s="118"/>
      <c r="I56" s="119">
        <v>5500000</v>
      </c>
      <c r="J56" s="91">
        <f t="shared" si="34"/>
        <v>32600000</v>
      </c>
      <c r="K56" s="118">
        <f t="shared" si="17"/>
        <v>0</v>
      </c>
      <c r="L56" s="119">
        <f t="shared" si="18"/>
        <v>32600000</v>
      </c>
      <c r="M56" s="91">
        <f t="shared" si="35"/>
        <v>0</v>
      </c>
      <c r="N56" s="118"/>
      <c r="O56" s="119">
        <v>0</v>
      </c>
      <c r="P56" s="91">
        <f t="shared" si="36"/>
        <v>32600000</v>
      </c>
      <c r="Q56" s="118">
        <f t="shared" si="19"/>
        <v>0</v>
      </c>
      <c r="R56" s="119">
        <f t="shared" si="20"/>
        <v>32600000</v>
      </c>
      <c r="S56" s="91">
        <f t="shared" si="37"/>
        <v>0</v>
      </c>
      <c r="T56" s="118"/>
      <c r="U56" s="119">
        <v>0</v>
      </c>
      <c r="V56" s="91">
        <f t="shared" si="38"/>
        <v>32600000</v>
      </c>
      <c r="W56" s="118">
        <f t="shared" si="21"/>
        <v>0</v>
      </c>
      <c r="X56" s="119">
        <f t="shared" si="22"/>
        <v>32600000</v>
      </c>
      <c r="Y56" s="91">
        <f t="shared" si="39"/>
        <v>0</v>
      </c>
      <c r="Z56" s="118"/>
      <c r="AA56" s="119"/>
      <c r="AB56" s="91">
        <f t="shared" si="40"/>
        <v>32600000</v>
      </c>
      <c r="AC56" s="118">
        <f t="shared" si="23"/>
        <v>0</v>
      </c>
      <c r="AD56" s="119">
        <f t="shared" si="24"/>
        <v>32600000</v>
      </c>
      <c r="AF56" s="46">
        <f t="shared" si="2"/>
        <v>0</v>
      </c>
      <c r="AG56" s="46"/>
    </row>
    <row r="57" spans="1:33" s="100" customFormat="1" ht="13.5" thickBot="1">
      <c r="A57" s="94"/>
      <c r="B57" s="214"/>
      <c r="C57" s="309" t="s">
        <v>33</v>
      </c>
      <c r="D57" s="310">
        <v>71070</v>
      </c>
      <c r="E57" s="311">
        <v>71070</v>
      </c>
      <c r="F57" s="312">
        <v>0</v>
      </c>
      <c r="G57" s="310">
        <f t="shared" si="33"/>
        <v>0</v>
      </c>
      <c r="H57" s="311"/>
      <c r="I57" s="312"/>
      <c r="J57" s="310">
        <f t="shared" si="34"/>
        <v>71070</v>
      </c>
      <c r="K57" s="311">
        <f t="shared" si="17"/>
        <v>71070</v>
      </c>
      <c r="L57" s="312">
        <f t="shared" si="18"/>
        <v>0</v>
      </c>
      <c r="M57" s="310">
        <f t="shared" si="35"/>
        <v>0</v>
      </c>
      <c r="N57" s="311"/>
      <c r="O57" s="312">
        <v>0</v>
      </c>
      <c r="P57" s="310">
        <f t="shared" si="36"/>
        <v>71070</v>
      </c>
      <c r="Q57" s="311">
        <f t="shared" si="19"/>
        <v>71070</v>
      </c>
      <c r="R57" s="312">
        <f t="shared" si="20"/>
        <v>0</v>
      </c>
      <c r="S57" s="310">
        <f t="shared" si="37"/>
        <v>10000</v>
      </c>
      <c r="T57" s="311">
        <f>-5000+15000</f>
        <v>10000</v>
      </c>
      <c r="U57" s="312">
        <v>0</v>
      </c>
      <c r="V57" s="310">
        <f t="shared" si="38"/>
        <v>81070</v>
      </c>
      <c r="W57" s="311">
        <f t="shared" si="21"/>
        <v>81070</v>
      </c>
      <c r="X57" s="312">
        <f t="shared" si="22"/>
        <v>0</v>
      </c>
      <c r="Y57" s="310">
        <f t="shared" si="39"/>
        <v>0</v>
      </c>
      <c r="Z57" s="311"/>
      <c r="AA57" s="312"/>
      <c r="AB57" s="310">
        <f t="shared" si="40"/>
        <v>81070</v>
      </c>
      <c r="AC57" s="311">
        <f t="shared" si="23"/>
        <v>81070</v>
      </c>
      <c r="AD57" s="312">
        <f t="shared" si="24"/>
        <v>0</v>
      </c>
      <c r="AF57" s="46">
        <f t="shared" si="2"/>
        <v>0</v>
      </c>
      <c r="AG57" s="46"/>
    </row>
    <row r="58" spans="1:33" ht="12.75">
      <c r="A58" s="65"/>
      <c r="B58" s="133">
        <v>630</v>
      </c>
      <c r="C58" s="134" t="s">
        <v>48</v>
      </c>
      <c r="D58" s="75">
        <v>1827300</v>
      </c>
      <c r="E58" s="76">
        <v>1827300</v>
      </c>
      <c r="F58" s="135">
        <v>0</v>
      </c>
      <c r="G58" s="75">
        <f t="shared" si="33"/>
        <v>0</v>
      </c>
      <c r="H58" s="76">
        <f>H59+H60</f>
        <v>0</v>
      </c>
      <c r="I58" s="135">
        <f>I59+I60</f>
        <v>0</v>
      </c>
      <c r="J58" s="75">
        <f t="shared" si="34"/>
        <v>1827300</v>
      </c>
      <c r="K58" s="76">
        <f>K59+K60</f>
        <v>1827300</v>
      </c>
      <c r="L58" s="135">
        <f>L59+L60</f>
        <v>0</v>
      </c>
      <c r="M58" s="75">
        <f t="shared" si="35"/>
        <v>0</v>
      </c>
      <c r="N58" s="76">
        <f>N59+N60</f>
        <v>0</v>
      </c>
      <c r="O58" s="135">
        <f>O59+O60</f>
        <v>0</v>
      </c>
      <c r="P58" s="75">
        <f t="shared" si="36"/>
        <v>1827300</v>
      </c>
      <c r="Q58" s="76">
        <f>Q59+Q60</f>
        <v>1827300</v>
      </c>
      <c r="R58" s="135">
        <f>R59+R60</f>
        <v>0</v>
      </c>
      <c r="S58" s="75">
        <f t="shared" si="37"/>
        <v>0</v>
      </c>
      <c r="T58" s="76">
        <f>T59+T60</f>
        <v>0</v>
      </c>
      <c r="U58" s="135">
        <f>U59+U60</f>
        <v>0</v>
      </c>
      <c r="V58" s="75">
        <f t="shared" si="38"/>
        <v>1827300</v>
      </c>
      <c r="W58" s="76">
        <f>W59+W60</f>
        <v>1827300</v>
      </c>
      <c r="X58" s="135">
        <f>X59+X60</f>
        <v>0</v>
      </c>
      <c r="Y58" s="75">
        <f t="shared" si="39"/>
        <v>0</v>
      </c>
      <c r="Z58" s="76">
        <f>Z59+Z60</f>
        <v>0</v>
      </c>
      <c r="AA58" s="135">
        <f>AA59+AA60</f>
        <v>0</v>
      </c>
      <c r="AB58" s="75">
        <f t="shared" si="40"/>
        <v>1827300</v>
      </c>
      <c r="AC58" s="76">
        <f>AC59+AC60</f>
        <v>1827300</v>
      </c>
      <c r="AD58" s="135">
        <f>AD59+AD60</f>
        <v>0</v>
      </c>
      <c r="AF58" s="46">
        <f t="shared" si="2"/>
        <v>0</v>
      </c>
      <c r="AG58" s="46"/>
    </row>
    <row r="59" spans="1:33" ht="12.75">
      <c r="A59" s="65"/>
      <c r="B59" s="136">
        <v>63003</v>
      </c>
      <c r="C59" s="137" t="s">
        <v>49</v>
      </c>
      <c r="D59" s="80">
        <v>157300</v>
      </c>
      <c r="E59" s="138">
        <v>157300</v>
      </c>
      <c r="F59" s="139">
        <v>0</v>
      </c>
      <c r="G59" s="80">
        <f t="shared" si="33"/>
        <v>0</v>
      </c>
      <c r="H59" s="138"/>
      <c r="I59" s="139">
        <v>0</v>
      </c>
      <c r="J59" s="80">
        <f t="shared" si="34"/>
        <v>157300</v>
      </c>
      <c r="K59" s="138">
        <f>E59+H59</f>
        <v>157300</v>
      </c>
      <c r="L59" s="139">
        <f>I59+F59</f>
        <v>0</v>
      </c>
      <c r="M59" s="80">
        <f t="shared" si="35"/>
        <v>0</v>
      </c>
      <c r="N59" s="138"/>
      <c r="O59" s="139">
        <v>0</v>
      </c>
      <c r="P59" s="80">
        <f t="shared" si="36"/>
        <v>157300</v>
      </c>
      <c r="Q59" s="138">
        <f>K59+N59</f>
        <v>157300</v>
      </c>
      <c r="R59" s="139">
        <f>O59+L59</f>
        <v>0</v>
      </c>
      <c r="S59" s="80">
        <f t="shared" si="37"/>
        <v>0</v>
      </c>
      <c r="T59" s="138"/>
      <c r="U59" s="139">
        <v>0</v>
      </c>
      <c r="V59" s="80">
        <f t="shared" si="38"/>
        <v>157300</v>
      </c>
      <c r="W59" s="138">
        <f>Q59+T59</f>
        <v>157300</v>
      </c>
      <c r="X59" s="139">
        <f>U59+R59</f>
        <v>0</v>
      </c>
      <c r="Y59" s="80">
        <f t="shared" si="39"/>
        <v>0</v>
      </c>
      <c r="Z59" s="138"/>
      <c r="AA59" s="139"/>
      <c r="AB59" s="80">
        <f t="shared" si="40"/>
        <v>157300</v>
      </c>
      <c r="AC59" s="138">
        <f>W59+Z59</f>
        <v>157300</v>
      </c>
      <c r="AD59" s="139">
        <f>AA59+X59</f>
        <v>0</v>
      </c>
      <c r="AF59" s="46">
        <f t="shared" si="2"/>
        <v>0</v>
      </c>
      <c r="AG59" s="46"/>
    </row>
    <row r="60" spans="1:33" ht="13.5" customHeight="1">
      <c r="A60" s="65"/>
      <c r="B60" s="140">
        <v>63095</v>
      </c>
      <c r="C60" s="129" t="s">
        <v>29</v>
      </c>
      <c r="D60" s="141">
        <v>1670000</v>
      </c>
      <c r="E60" s="142">
        <v>1670000</v>
      </c>
      <c r="F60" s="143">
        <v>0</v>
      </c>
      <c r="G60" s="141">
        <f>G61+G63</f>
        <v>0</v>
      </c>
      <c r="H60" s="142">
        <f>SUM(H61:H63)</f>
        <v>0</v>
      </c>
      <c r="I60" s="143">
        <f>SUM(I61:I63)</f>
        <v>0</v>
      </c>
      <c r="J60" s="141">
        <f>J61+J63</f>
        <v>1670000</v>
      </c>
      <c r="K60" s="142">
        <f>E60+H60</f>
        <v>1670000</v>
      </c>
      <c r="L60" s="143">
        <f>I60+F60</f>
        <v>0</v>
      </c>
      <c r="M60" s="141">
        <f>M61+M63</f>
        <v>0</v>
      </c>
      <c r="N60" s="142">
        <f>SUM(N61:N63)</f>
        <v>0</v>
      </c>
      <c r="O60" s="143">
        <f>SUM(O61:O63)</f>
        <v>0</v>
      </c>
      <c r="P60" s="141">
        <f>P61+P63</f>
        <v>1670000</v>
      </c>
      <c r="Q60" s="142">
        <f>K60+N60</f>
        <v>1670000</v>
      </c>
      <c r="R60" s="143">
        <f>O60+L60</f>
        <v>0</v>
      </c>
      <c r="S60" s="141">
        <f>S61+S63</f>
        <v>0</v>
      </c>
      <c r="T60" s="142">
        <f>SUM(T61:T63)</f>
        <v>0</v>
      </c>
      <c r="U60" s="143">
        <f>SUM(U61:U63)</f>
        <v>0</v>
      </c>
      <c r="V60" s="141">
        <f>V61+V63</f>
        <v>1670000</v>
      </c>
      <c r="W60" s="142">
        <f>Q60+T60</f>
        <v>1670000</v>
      </c>
      <c r="X60" s="143">
        <f>U60+R60</f>
        <v>0</v>
      </c>
      <c r="Y60" s="141">
        <f>Y61+Y63</f>
        <v>0</v>
      </c>
      <c r="Z60" s="142">
        <f>SUM(Z61:Z63)</f>
        <v>0</v>
      </c>
      <c r="AA60" s="143">
        <f>SUM(AA61:AA63)</f>
        <v>0</v>
      </c>
      <c r="AB60" s="141">
        <f>AB61+AB63</f>
        <v>1670000</v>
      </c>
      <c r="AC60" s="142">
        <f>W60+Z60</f>
        <v>1670000</v>
      </c>
      <c r="AD60" s="143">
        <f>AA60+X60</f>
        <v>0</v>
      </c>
      <c r="AF60" s="46">
        <f t="shared" si="2"/>
        <v>0</v>
      </c>
      <c r="AG60" s="46"/>
    </row>
    <row r="61" spans="1:33" s="9" customFormat="1" ht="13.5" customHeight="1">
      <c r="A61" s="121"/>
      <c r="B61" s="108"/>
      <c r="C61" s="85" t="s">
        <v>50</v>
      </c>
      <c r="D61" s="91">
        <v>1670000</v>
      </c>
      <c r="E61" s="92">
        <v>1670000</v>
      </c>
      <c r="F61" s="144">
        <v>0</v>
      </c>
      <c r="G61" s="91">
        <f aca="true" t="shared" si="41" ref="G61:G87">H61+I61</f>
        <v>0</v>
      </c>
      <c r="H61" s="92"/>
      <c r="I61" s="144">
        <v>0</v>
      </c>
      <c r="J61" s="91">
        <f aca="true" t="shared" si="42" ref="J61:J87">K61+L61</f>
        <v>1670000</v>
      </c>
      <c r="K61" s="92">
        <f>E61+H61</f>
        <v>1670000</v>
      </c>
      <c r="L61" s="144">
        <f>I61+F61</f>
        <v>0</v>
      </c>
      <c r="M61" s="91">
        <f aca="true" t="shared" si="43" ref="M61:M87">N61+O61</f>
        <v>0</v>
      </c>
      <c r="N61" s="92"/>
      <c r="O61" s="144">
        <v>0</v>
      </c>
      <c r="P61" s="91">
        <f aca="true" t="shared" si="44" ref="P61:P87">Q61+R61</f>
        <v>1670000</v>
      </c>
      <c r="Q61" s="92">
        <f>K61+N61</f>
        <v>1670000</v>
      </c>
      <c r="R61" s="144">
        <f>O61+L61</f>
        <v>0</v>
      </c>
      <c r="S61" s="91">
        <f aca="true" t="shared" si="45" ref="S61:S87">T61+U61</f>
        <v>0</v>
      </c>
      <c r="T61" s="92"/>
      <c r="U61" s="144">
        <v>0</v>
      </c>
      <c r="V61" s="91">
        <f aca="true" t="shared" si="46" ref="V61:V87">W61+X61</f>
        <v>1670000</v>
      </c>
      <c r="W61" s="92">
        <f>Q61+T61</f>
        <v>1670000</v>
      </c>
      <c r="X61" s="144">
        <f>U61+R61</f>
        <v>0</v>
      </c>
      <c r="Y61" s="91">
        <f aca="true" t="shared" si="47" ref="Y61:Y87">Z61+AA61</f>
        <v>0</v>
      </c>
      <c r="Z61" s="92"/>
      <c r="AA61" s="144"/>
      <c r="AB61" s="91">
        <f aca="true" t="shared" si="48" ref="AB61:AB87">AC61+AD61</f>
        <v>1670000</v>
      </c>
      <c r="AC61" s="92">
        <f>W61+Z61</f>
        <v>1670000</v>
      </c>
      <c r="AD61" s="144">
        <f>AA61+X61</f>
        <v>0</v>
      </c>
      <c r="AF61" s="46">
        <f t="shared" si="2"/>
        <v>0</v>
      </c>
      <c r="AG61" s="46"/>
    </row>
    <row r="62" spans="1:33" s="9" customFormat="1" ht="13.5" customHeight="1" hidden="1">
      <c r="A62" s="121"/>
      <c r="B62" s="108"/>
      <c r="C62" s="122" t="s">
        <v>42</v>
      </c>
      <c r="D62" s="123">
        <v>0</v>
      </c>
      <c r="E62" s="124">
        <v>0</v>
      </c>
      <c r="F62" s="125">
        <v>0</v>
      </c>
      <c r="G62" s="123">
        <f t="shared" si="41"/>
        <v>0</v>
      </c>
      <c r="H62" s="124">
        <v>0</v>
      </c>
      <c r="I62" s="125">
        <v>0</v>
      </c>
      <c r="J62" s="123">
        <f t="shared" si="42"/>
        <v>0</v>
      </c>
      <c r="K62" s="124">
        <v>0</v>
      </c>
      <c r="L62" s="125">
        <v>0</v>
      </c>
      <c r="M62" s="123">
        <f t="shared" si="43"/>
        <v>0</v>
      </c>
      <c r="N62" s="124">
        <v>0</v>
      </c>
      <c r="O62" s="125">
        <v>0</v>
      </c>
      <c r="P62" s="123">
        <f t="shared" si="44"/>
        <v>0</v>
      </c>
      <c r="Q62" s="124">
        <v>0</v>
      </c>
      <c r="R62" s="125">
        <v>0</v>
      </c>
      <c r="S62" s="123">
        <f t="shared" si="45"/>
        <v>0</v>
      </c>
      <c r="T62" s="124">
        <v>0</v>
      </c>
      <c r="U62" s="125">
        <v>0</v>
      </c>
      <c r="V62" s="123">
        <f t="shared" si="46"/>
        <v>0</v>
      </c>
      <c r="W62" s="124">
        <v>0</v>
      </c>
      <c r="X62" s="125">
        <v>0</v>
      </c>
      <c r="Y62" s="123">
        <f t="shared" si="47"/>
        <v>0</v>
      </c>
      <c r="Z62" s="124">
        <v>0</v>
      </c>
      <c r="AA62" s="125">
        <v>0</v>
      </c>
      <c r="AB62" s="123">
        <f t="shared" si="48"/>
        <v>0</v>
      </c>
      <c r="AC62" s="124">
        <v>0</v>
      </c>
      <c r="AD62" s="125">
        <v>0</v>
      </c>
      <c r="AF62" s="46">
        <f t="shared" si="2"/>
        <v>0</v>
      </c>
      <c r="AG62" s="46"/>
    </row>
    <row r="63" spans="1:33" s="147" customFormat="1" ht="13.5" customHeight="1" hidden="1">
      <c r="A63" s="145"/>
      <c r="B63" s="126"/>
      <c r="C63" s="132" t="s">
        <v>33</v>
      </c>
      <c r="D63" s="97">
        <v>0</v>
      </c>
      <c r="E63" s="111">
        <v>0</v>
      </c>
      <c r="F63" s="146">
        <v>0</v>
      </c>
      <c r="G63" s="97">
        <f t="shared" si="41"/>
        <v>0</v>
      </c>
      <c r="H63" s="111">
        <v>0</v>
      </c>
      <c r="I63" s="146">
        <v>0</v>
      </c>
      <c r="J63" s="97">
        <f t="shared" si="42"/>
        <v>0</v>
      </c>
      <c r="K63" s="111">
        <v>0</v>
      </c>
      <c r="L63" s="146">
        <v>0</v>
      </c>
      <c r="M63" s="97">
        <f t="shared" si="43"/>
        <v>0</v>
      </c>
      <c r="N63" s="111">
        <v>0</v>
      </c>
      <c r="O63" s="146">
        <v>0</v>
      </c>
      <c r="P63" s="97">
        <f t="shared" si="44"/>
        <v>0</v>
      </c>
      <c r="Q63" s="111">
        <v>0</v>
      </c>
      <c r="R63" s="146">
        <v>0</v>
      </c>
      <c r="S63" s="97">
        <f t="shared" si="45"/>
        <v>0</v>
      </c>
      <c r="T63" s="111">
        <v>0</v>
      </c>
      <c r="U63" s="146">
        <v>0</v>
      </c>
      <c r="V63" s="97">
        <f t="shared" si="46"/>
        <v>0</v>
      </c>
      <c r="W63" s="111">
        <v>0</v>
      </c>
      <c r="X63" s="146">
        <v>0</v>
      </c>
      <c r="Y63" s="97">
        <f t="shared" si="47"/>
        <v>0</v>
      </c>
      <c r="Z63" s="111">
        <v>0</v>
      </c>
      <c r="AA63" s="146">
        <v>0</v>
      </c>
      <c r="AB63" s="97">
        <f t="shared" si="48"/>
        <v>0</v>
      </c>
      <c r="AC63" s="111">
        <v>0</v>
      </c>
      <c r="AD63" s="146">
        <v>0</v>
      </c>
      <c r="AF63" s="46">
        <f t="shared" si="2"/>
        <v>0</v>
      </c>
      <c r="AG63" s="46"/>
    </row>
    <row r="64" spans="1:33" ht="12.75">
      <c r="A64" s="148"/>
      <c r="B64" s="101">
        <v>700</v>
      </c>
      <c r="C64" s="149" t="s">
        <v>51</v>
      </c>
      <c r="D64" s="103">
        <v>72317220</v>
      </c>
      <c r="E64" s="104">
        <v>9834220</v>
      </c>
      <c r="F64" s="105">
        <v>62483000</v>
      </c>
      <c r="G64" s="103">
        <f t="shared" si="41"/>
        <v>0</v>
      </c>
      <c r="H64" s="104">
        <f>H65+H66+H67+H68</f>
        <v>0</v>
      </c>
      <c r="I64" s="105">
        <f>I65+I66+I67+I68</f>
        <v>0</v>
      </c>
      <c r="J64" s="103">
        <f t="shared" si="42"/>
        <v>72317220</v>
      </c>
      <c r="K64" s="104">
        <f>K65+K66+K67+K68</f>
        <v>9834220</v>
      </c>
      <c r="L64" s="105">
        <f>L65+L66+L67+L68</f>
        <v>62483000</v>
      </c>
      <c r="M64" s="103">
        <f t="shared" si="43"/>
        <v>0</v>
      </c>
      <c r="N64" s="104">
        <f>N65+N66+N67+N68</f>
        <v>0</v>
      </c>
      <c r="O64" s="105">
        <f>O65+O66+O67+O68</f>
        <v>0</v>
      </c>
      <c r="P64" s="103">
        <f t="shared" si="44"/>
        <v>72317220</v>
      </c>
      <c r="Q64" s="104">
        <f>Q65+Q66+Q67+Q68</f>
        <v>9834220</v>
      </c>
      <c r="R64" s="105">
        <f>R65+R66+R67+R68</f>
        <v>62483000</v>
      </c>
      <c r="S64" s="103">
        <f t="shared" si="45"/>
        <v>-5630000</v>
      </c>
      <c r="T64" s="104">
        <f>T65+T66+T67+T68</f>
        <v>0</v>
      </c>
      <c r="U64" s="105">
        <f>U65+U66+U67+U68</f>
        <v>-5630000</v>
      </c>
      <c r="V64" s="103">
        <f t="shared" si="46"/>
        <v>66687220</v>
      </c>
      <c r="W64" s="104">
        <f>W65+W66+W67+W68</f>
        <v>9834220</v>
      </c>
      <c r="X64" s="105">
        <f>X65+X66+X67+X68</f>
        <v>56853000</v>
      </c>
      <c r="Y64" s="103">
        <f t="shared" si="47"/>
        <v>65662</v>
      </c>
      <c r="Z64" s="104">
        <f>Z65+Z66+Z67+Z68</f>
        <v>65662</v>
      </c>
      <c r="AA64" s="105">
        <f>AA65+AA66+AA67+AA68</f>
        <v>0</v>
      </c>
      <c r="AB64" s="103">
        <f t="shared" si="48"/>
        <v>66752882</v>
      </c>
      <c r="AC64" s="104">
        <f>AC65+AC66+AC67+AC68</f>
        <v>9899882</v>
      </c>
      <c r="AD64" s="105">
        <f>AD65+AD66+AD67+AD68</f>
        <v>56853000</v>
      </c>
      <c r="AF64" s="46">
        <f t="shared" si="2"/>
        <v>0</v>
      </c>
      <c r="AG64" s="46"/>
    </row>
    <row r="65" spans="1:33" ht="12.75" customHeight="1">
      <c r="A65" s="65"/>
      <c r="B65" s="140">
        <v>70001</v>
      </c>
      <c r="C65" s="129" t="s">
        <v>52</v>
      </c>
      <c r="D65" s="112">
        <v>45493000</v>
      </c>
      <c r="E65" s="142">
        <v>0</v>
      </c>
      <c r="F65" s="150">
        <v>45493000</v>
      </c>
      <c r="G65" s="112">
        <f t="shared" si="41"/>
        <v>0</v>
      </c>
      <c r="H65" s="142">
        <v>0</v>
      </c>
      <c r="I65" s="150"/>
      <c r="J65" s="112">
        <f t="shared" si="42"/>
        <v>45493000</v>
      </c>
      <c r="K65" s="142">
        <f aca="true" t="shared" si="49" ref="K65:K70">E65+H65</f>
        <v>0</v>
      </c>
      <c r="L65" s="150">
        <f aca="true" t="shared" si="50" ref="L65:L70">I65+F65</f>
        <v>45493000</v>
      </c>
      <c r="M65" s="112">
        <f t="shared" si="43"/>
        <v>0</v>
      </c>
      <c r="N65" s="142">
        <v>0</v>
      </c>
      <c r="O65" s="150"/>
      <c r="P65" s="112">
        <f t="shared" si="44"/>
        <v>45493000</v>
      </c>
      <c r="Q65" s="142">
        <f aca="true" t="shared" si="51" ref="Q65:Q70">K65+N65</f>
        <v>0</v>
      </c>
      <c r="R65" s="150">
        <f aca="true" t="shared" si="52" ref="R65:R70">O65+L65</f>
        <v>45493000</v>
      </c>
      <c r="S65" s="112">
        <f t="shared" si="45"/>
        <v>-5630000</v>
      </c>
      <c r="T65" s="142">
        <v>0</v>
      </c>
      <c r="U65" s="150">
        <v>-5630000</v>
      </c>
      <c r="V65" s="112">
        <f t="shared" si="46"/>
        <v>39863000</v>
      </c>
      <c r="W65" s="142">
        <f aca="true" t="shared" si="53" ref="W65:W70">Q65+T65</f>
        <v>0</v>
      </c>
      <c r="X65" s="150">
        <f aca="true" t="shared" si="54" ref="X65:X70">U65+R65</f>
        <v>39863000</v>
      </c>
      <c r="Y65" s="112">
        <f t="shared" si="47"/>
        <v>0</v>
      </c>
      <c r="Z65" s="142"/>
      <c r="AA65" s="150"/>
      <c r="AB65" s="112">
        <f t="shared" si="48"/>
        <v>39863000</v>
      </c>
      <c r="AC65" s="142">
        <f aca="true" t="shared" si="55" ref="AC65:AC70">W65+Z65</f>
        <v>0</v>
      </c>
      <c r="AD65" s="150">
        <f aca="true" t="shared" si="56" ref="AD65:AD70">AA65+X65</f>
        <v>39863000</v>
      </c>
      <c r="AF65" s="46">
        <f t="shared" si="2"/>
        <v>0</v>
      </c>
      <c r="AG65" s="46"/>
    </row>
    <row r="66" spans="1:33" ht="12.75">
      <c r="A66" s="65"/>
      <c r="B66" s="106">
        <v>70005</v>
      </c>
      <c r="C66" s="83" t="s">
        <v>53</v>
      </c>
      <c r="D66" s="151">
        <v>16261010</v>
      </c>
      <c r="E66" s="81">
        <v>8211010</v>
      </c>
      <c r="F66" s="82">
        <v>8050000</v>
      </c>
      <c r="G66" s="151">
        <f t="shared" si="41"/>
        <v>0</v>
      </c>
      <c r="H66" s="81"/>
      <c r="I66" s="82"/>
      <c r="J66" s="151">
        <f t="shared" si="42"/>
        <v>16261010</v>
      </c>
      <c r="K66" s="81">
        <f t="shared" si="49"/>
        <v>8211010</v>
      </c>
      <c r="L66" s="82">
        <f t="shared" si="50"/>
        <v>8050000</v>
      </c>
      <c r="M66" s="151">
        <f t="shared" si="43"/>
        <v>0</v>
      </c>
      <c r="N66" s="81"/>
      <c r="O66" s="82"/>
      <c r="P66" s="151">
        <f t="shared" si="44"/>
        <v>16261010</v>
      </c>
      <c r="Q66" s="81">
        <f t="shared" si="51"/>
        <v>8211010</v>
      </c>
      <c r="R66" s="82">
        <f t="shared" si="52"/>
        <v>8050000</v>
      </c>
      <c r="S66" s="151">
        <f t="shared" si="45"/>
        <v>0</v>
      </c>
      <c r="T66" s="81"/>
      <c r="U66" s="82"/>
      <c r="V66" s="151">
        <f t="shared" si="46"/>
        <v>16261010</v>
      </c>
      <c r="W66" s="81">
        <f t="shared" si="53"/>
        <v>8211010</v>
      </c>
      <c r="X66" s="82">
        <f t="shared" si="54"/>
        <v>8050000</v>
      </c>
      <c r="Y66" s="151">
        <f t="shared" si="47"/>
        <v>65662</v>
      </c>
      <c r="Z66" s="81">
        <f>65662</f>
        <v>65662</v>
      </c>
      <c r="AA66" s="82"/>
      <c r="AB66" s="151">
        <f t="shared" si="48"/>
        <v>16326672</v>
      </c>
      <c r="AC66" s="81">
        <f t="shared" si="55"/>
        <v>8276672</v>
      </c>
      <c r="AD66" s="82">
        <f t="shared" si="56"/>
        <v>8050000</v>
      </c>
      <c r="AF66" s="46">
        <f t="shared" si="2"/>
        <v>0</v>
      </c>
      <c r="AG66" s="46"/>
    </row>
    <row r="67" spans="1:33" ht="12.75">
      <c r="A67" s="65"/>
      <c r="B67" s="78">
        <v>70021</v>
      </c>
      <c r="C67" s="83" t="s">
        <v>54</v>
      </c>
      <c r="D67" s="112">
        <v>10460000</v>
      </c>
      <c r="E67" s="142">
        <v>1520000</v>
      </c>
      <c r="F67" s="139">
        <v>8940000</v>
      </c>
      <c r="G67" s="112">
        <f t="shared" si="41"/>
        <v>0</v>
      </c>
      <c r="H67" s="142"/>
      <c r="I67" s="139"/>
      <c r="J67" s="112">
        <f t="shared" si="42"/>
        <v>10460000</v>
      </c>
      <c r="K67" s="142">
        <f t="shared" si="49"/>
        <v>1520000</v>
      </c>
      <c r="L67" s="139">
        <f t="shared" si="50"/>
        <v>8940000</v>
      </c>
      <c r="M67" s="112">
        <f t="shared" si="43"/>
        <v>0</v>
      </c>
      <c r="N67" s="142"/>
      <c r="O67" s="139"/>
      <c r="P67" s="112">
        <f t="shared" si="44"/>
        <v>10460000</v>
      </c>
      <c r="Q67" s="142">
        <f t="shared" si="51"/>
        <v>1520000</v>
      </c>
      <c r="R67" s="139">
        <f t="shared" si="52"/>
        <v>8940000</v>
      </c>
      <c r="S67" s="112">
        <f t="shared" si="45"/>
        <v>0</v>
      </c>
      <c r="T67" s="142"/>
      <c r="U67" s="139"/>
      <c r="V67" s="112">
        <f t="shared" si="46"/>
        <v>10460000</v>
      </c>
      <c r="W67" s="142">
        <f t="shared" si="53"/>
        <v>1520000</v>
      </c>
      <c r="X67" s="139">
        <f t="shared" si="54"/>
        <v>8940000</v>
      </c>
      <c r="Y67" s="112">
        <f t="shared" si="47"/>
        <v>0</v>
      </c>
      <c r="Z67" s="142"/>
      <c r="AA67" s="139"/>
      <c r="AB67" s="112">
        <f t="shared" si="48"/>
        <v>10460000</v>
      </c>
      <c r="AC67" s="142">
        <f t="shared" si="55"/>
        <v>1520000</v>
      </c>
      <c r="AD67" s="139">
        <f t="shared" si="56"/>
        <v>8940000</v>
      </c>
      <c r="AF67" s="46">
        <f t="shared" si="2"/>
        <v>0</v>
      </c>
      <c r="AG67" s="46"/>
    </row>
    <row r="68" spans="1:33" ht="13.5" thickBot="1">
      <c r="A68" s="65"/>
      <c r="B68" s="152">
        <v>70095</v>
      </c>
      <c r="C68" s="153" t="s">
        <v>29</v>
      </c>
      <c r="D68" s="154">
        <v>103210</v>
      </c>
      <c r="E68" s="155">
        <v>103210</v>
      </c>
      <c r="F68" s="156">
        <v>0</v>
      </c>
      <c r="G68" s="154">
        <f t="shared" si="41"/>
        <v>0</v>
      </c>
      <c r="H68" s="155"/>
      <c r="I68" s="156"/>
      <c r="J68" s="154">
        <f t="shared" si="42"/>
        <v>103210</v>
      </c>
      <c r="K68" s="155">
        <f t="shared" si="49"/>
        <v>103210</v>
      </c>
      <c r="L68" s="156">
        <f t="shared" si="50"/>
        <v>0</v>
      </c>
      <c r="M68" s="154">
        <f t="shared" si="43"/>
        <v>0</v>
      </c>
      <c r="N68" s="155"/>
      <c r="O68" s="156"/>
      <c r="P68" s="154">
        <f t="shared" si="44"/>
        <v>103210</v>
      </c>
      <c r="Q68" s="155">
        <f t="shared" si="51"/>
        <v>103210</v>
      </c>
      <c r="R68" s="156">
        <f t="shared" si="52"/>
        <v>0</v>
      </c>
      <c r="S68" s="154">
        <f t="shared" si="45"/>
        <v>0</v>
      </c>
      <c r="T68" s="155"/>
      <c r="U68" s="156"/>
      <c r="V68" s="154">
        <f t="shared" si="46"/>
        <v>103210</v>
      </c>
      <c r="W68" s="155">
        <f t="shared" si="53"/>
        <v>103210</v>
      </c>
      <c r="X68" s="156">
        <f t="shared" si="54"/>
        <v>0</v>
      </c>
      <c r="Y68" s="154">
        <f t="shared" si="47"/>
        <v>0</v>
      </c>
      <c r="Z68" s="155"/>
      <c r="AA68" s="156"/>
      <c r="AB68" s="154">
        <f t="shared" si="48"/>
        <v>103210</v>
      </c>
      <c r="AC68" s="155">
        <f t="shared" si="55"/>
        <v>103210</v>
      </c>
      <c r="AD68" s="156">
        <f t="shared" si="56"/>
        <v>0</v>
      </c>
      <c r="AF68" s="46">
        <f t="shared" si="2"/>
        <v>0</v>
      </c>
      <c r="AG68" s="46"/>
    </row>
    <row r="69" spans="1:33" ht="12.75" hidden="1">
      <c r="A69" s="65"/>
      <c r="B69" s="109"/>
      <c r="C69" s="122" t="s">
        <v>42</v>
      </c>
      <c r="D69" s="123">
        <v>0</v>
      </c>
      <c r="E69" s="124">
        <v>0</v>
      </c>
      <c r="F69" s="125">
        <v>0</v>
      </c>
      <c r="G69" s="123">
        <f t="shared" si="41"/>
        <v>0</v>
      </c>
      <c r="H69" s="124"/>
      <c r="I69" s="125"/>
      <c r="J69" s="123">
        <f t="shared" si="42"/>
        <v>0</v>
      </c>
      <c r="K69" s="124">
        <f t="shared" si="49"/>
        <v>0</v>
      </c>
      <c r="L69" s="125">
        <f t="shared" si="50"/>
        <v>0</v>
      </c>
      <c r="M69" s="123">
        <f t="shared" si="43"/>
        <v>0</v>
      </c>
      <c r="N69" s="124"/>
      <c r="O69" s="125"/>
      <c r="P69" s="123">
        <f t="shared" si="44"/>
        <v>0</v>
      </c>
      <c r="Q69" s="124">
        <f t="shared" si="51"/>
        <v>0</v>
      </c>
      <c r="R69" s="125">
        <f t="shared" si="52"/>
        <v>0</v>
      </c>
      <c r="S69" s="123">
        <f t="shared" si="45"/>
        <v>0</v>
      </c>
      <c r="T69" s="124"/>
      <c r="U69" s="125"/>
      <c r="V69" s="123">
        <f t="shared" si="46"/>
        <v>0</v>
      </c>
      <c r="W69" s="124">
        <f t="shared" si="53"/>
        <v>0</v>
      </c>
      <c r="X69" s="125">
        <f t="shared" si="54"/>
        <v>0</v>
      </c>
      <c r="Y69" s="123">
        <f t="shared" si="47"/>
        <v>0</v>
      </c>
      <c r="Z69" s="124"/>
      <c r="AA69" s="125"/>
      <c r="AB69" s="123">
        <f t="shared" si="48"/>
        <v>0</v>
      </c>
      <c r="AC69" s="124">
        <f t="shared" si="55"/>
        <v>0</v>
      </c>
      <c r="AD69" s="125">
        <f t="shared" si="56"/>
        <v>0</v>
      </c>
      <c r="AF69" s="46">
        <f t="shared" si="2"/>
        <v>0</v>
      </c>
      <c r="AG69" s="46"/>
    </row>
    <row r="70" spans="1:33" ht="12.75" hidden="1">
      <c r="A70" s="65"/>
      <c r="B70" s="140"/>
      <c r="C70" s="157" t="s">
        <v>55</v>
      </c>
      <c r="D70" s="112">
        <v>0</v>
      </c>
      <c r="E70" s="113">
        <v>0</v>
      </c>
      <c r="F70" s="128">
        <v>0</v>
      </c>
      <c r="G70" s="112">
        <f t="shared" si="41"/>
        <v>0</v>
      </c>
      <c r="H70" s="113"/>
      <c r="I70" s="128"/>
      <c r="J70" s="112">
        <f t="shared" si="42"/>
        <v>0</v>
      </c>
      <c r="K70" s="113">
        <f t="shared" si="49"/>
        <v>0</v>
      </c>
      <c r="L70" s="128">
        <f t="shared" si="50"/>
        <v>0</v>
      </c>
      <c r="M70" s="112">
        <f t="shared" si="43"/>
        <v>0</v>
      </c>
      <c r="N70" s="113"/>
      <c r="O70" s="128"/>
      <c r="P70" s="112">
        <f t="shared" si="44"/>
        <v>0</v>
      </c>
      <c r="Q70" s="113">
        <f t="shared" si="51"/>
        <v>0</v>
      </c>
      <c r="R70" s="128">
        <f t="shared" si="52"/>
        <v>0</v>
      </c>
      <c r="S70" s="112">
        <f t="shared" si="45"/>
        <v>0</v>
      </c>
      <c r="T70" s="113"/>
      <c r="U70" s="128"/>
      <c r="V70" s="112">
        <f t="shared" si="46"/>
        <v>0</v>
      </c>
      <c r="W70" s="113">
        <f t="shared" si="53"/>
        <v>0</v>
      </c>
      <c r="X70" s="128">
        <f t="shared" si="54"/>
        <v>0</v>
      </c>
      <c r="Y70" s="112">
        <f t="shared" si="47"/>
        <v>0</v>
      </c>
      <c r="Z70" s="113"/>
      <c r="AA70" s="128"/>
      <c r="AB70" s="112">
        <f t="shared" si="48"/>
        <v>0</v>
      </c>
      <c r="AC70" s="113">
        <f t="shared" si="55"/>
        <v>0</v>
      </c>
      <c r="AD70" s="128">
        <f t="shared" si="56"/>
        <v>0</v>
      </c>
      <c r="AF70" s="46">
        <f t="shared" si="2"/>
        <v>0</v>
      </c>
      <c r="AG70" s="46"/>
    </row>
    <row r="71" spans="1:33" ht="12.75">
      <c r="A71" s="65"/>
      <c r="B71" s="133">
        <v>710</v>
      </c>
      <c r="C71" s="134" t="s">
        <v>56</v>
      </c>
      <c r="D71" s="75">
        <v>32875000</v>
      </c>
      <c r="E71" s="76">
        <v>27695000</v>
      </c>
      <c r="F71" s="158">
        <v>5180000</v>
      </c>
      <c r="G71" s="75">
        <f t="shared" si="41"/>
        <v>0</v>
      </c>
      <c r="H71" s="76">
        <f>H72+H74+H75+H73</f>
        <v>0</v>
      </c>
      <c r="I71" s="158">
        <f>I72+I74+I75+I73</f>
        <v>0</v>
      </c>
      <c r="J71" s="75">
        <f t="shared" si="42"/>
        <v>32875000</v>
      </c>
      <c r="K71" s="76">
        <f>K72+K74+K75+K73</f>
        <v>27695000</v>
      </c>
      <c r="L71" s="158">
        <f>L72+L74+L75+L73</f>
        <v>5180000</v>
      </c>
      <c r="M71" s="75">
        <f t="shared" si="43"/>
        <v>0</v>
      </c>
      <c r="N71" s="76">
        <f>N72+N74+N75+N73</f>
        <v>0</v>
      </c>
      <c r="O71" s="158">
        <f>O72+O74+O75+O73</f>
        <v>0</v>
      </c>
      <c r="P71" s="75">
        <f t="shared" si="44"/>
        <v>32875000</v>
      </c>
      <c r="Q71" s="76">
        <f>Q72+Q74+Q75+Q73</f>
        <v>27695000</v>
      </c>
      <c r="R71" s="158">
        <f>R72+R74+R75+R73</f>
        <v>5180000</v>
      </c>
      <c r="S71" s="75">
        <f t="shared" si="45"/>
        <v>138000</v>
      </c>
      <c r="T71" s="76">
        <f>T72+T74+T75+T73</f>
        <v>938000</v>
      </c>
      <c r="U71" s="158">
        <f>U72+U74+U75+U73</f>
        <v>-800000</v>
      </c>
      <c r="V71" s="75">
        <f t="shared" si="46"/>
        <v>33013000</v>
      </c>
      <c r="W71" s="76">
        <f>W72+W74+W75+W73</f>
        <v>28633000</v>
      </c>
      <c r="X71" s="158">
        <f>X72+X74+X75+X73</f>
        <v>4380000</v>
      </c>
      <c r="Y71" s="75">
        <f t="shared" si="47"/>
        <v>0</v>
      </c>
      <c r="Z71" s="76">
        <f>Z72+Z74+Z75+Z73</f>
        <v>0</v>
      </c>
      <c r="AA71" s="158">
        <f>AA72+AA74+AA75+AA73</f>
        <v>0</v>
      </c>
      <c r="AB71" s="75">
        <f t="shared" si="48"/>
        <v>33013000</v>
      </c>
      <c r="AC71" s="76">
        <f>AC72+AC74+AC75+AC73</f>
        <v>28633000</v>
      </c>
      <c r="AD71" s="158">
        <f>AD72+AD74+AD75+AD73</f>
        <v>4380000</v>
      </c>
      <c r="AF71" s="46">
        <f t="shared" si="2"/>
        <v>0</v>
      </c>
      <c r="AG71" s="46"/>
    </row>
    <row r="72" spans="1:33" ht="12.75">
      <c r="A72" s="65"/>
      <c r="B72" s="140">
        <v>71003</v>
      </c>
      <c r="C72" s="129" t="s">
        <v>57</v>
      </c>
      <c r="D72" s="112">
        <v>6699000</v>
      </c>
      <c r="E72" s="142">
        <v>6039000</v>
      </c>
      <c r="F72" s="139">
        <v>660000</v>
      </c>
      <c r="G72" s="112">
        <f t="shared" si="41"/>
        <v>0</v>
      </c>
      <c r="H72" s="142"/>
      <c r="I72" s="139"/>
      <c r="J72" s="112">
        <f t="shared" si="42"/>
        <v>6699000</v>
      </c>
      <c r="K72" s="142">
        <f aca="true" t="shared" si="57" ref="K72:K78">E72+H72</f>
        <v>6039000</v>
      </c>
      <c r="L72" s="139">
        <f aca="true" t="shared" si="58" ref="L72:L78">I72+F72</f>
        <v>660000</v>
      </c>
      <c r="M72" s="112">
        <f t="shared" si="43"/>
        <v>0</v>
      </c>
      <c r="N72" s="142"/>
      <c r="O72" s="139"/>
      <c r="P72" s="112">
        <f t="shared" si="44"/>
        <v>6699000</v>
      </c>
      <c r="Q72" s="142">
        <f aca="true" t="shared" si="59" ref="Q72:Q78">K72+N72</f>
        <v>6039000</v>
      </c>
      <c r="R72" s="139">
        <f aca="true" t="shared" si="60" ref="R72:R78">O72+L72</f>
        <v>660000</v>
      </c>
      <c r="S72" s="112">
        <f t="shared" si="45"/>
        <v>148000</v>
      </c>
      <c r="T72" s="142">
        <v>148000</v>
      </c>
      <c r="U72" s="139"/>
      <c r="V72" s="112">
        <f t="shared" si="46"/>
        <v>6847000</v>
      </c>
      <c r="W72" s="142">
        <f aca="true" t="shared" si="61" ref="W72:W78">Q72+T72</f>
        <v>6187000</v>
      </c>
      <c r="X72" s="139">
        <f aca="true" t="shared" si="62" ref="X72:X78">U72+R72</f>
        <v>660000</v>
      </c>
      <c r="Y72" s="112">
        <f t="shared" si="47"/>
        <v>0</v>
      </c>
      <c r="Z72" s="142"/>
      <c r="AA72" s="139"/>
      <c r="AB72" s="112">
        <f t="shared" si="48"/>
        <v>6847000</v>
      </c>
      <c r="AC72" s="142">
        <f aca="true" t="shared" si="63" ref="AC72:AC78">W72+Z72</f>
        <v>6187000</v>
      </c>
      <c r="AD72" s="139">
        <f aca="true" t="shared" si="64" ref="AD72:AD78">AA72+X72</f>
        <v>660000</v>
      </c>
      <c r="AF72" s="46">
        <f t="shared" si="2"/>
        <v>0</v>
      </c>
      <c r="AG72" s="46"/>
    </row>
    <row r="73" spans="1:33" ht="12.75">
      <c r="A73" s="65"/>
      <c r="B73" s="140">
        <v>71004</v>
      </c>
      <c r="C73" s="129" t="s">
        <v>58</v>
      </c>
      <c r="D73" s="112">
        <v>385000</v>
      </c>
      <c r="E73" s="142">
        <v>385000</v>
      </c>
      <c r="F73" s="139">
        <v>0</v>
      </c>
      <c r="G73" s="112">
        <f t="shared" si="41"/>
        <v>0</v>
      </c>
      <c r="H73" s="142"/>
      <c r="I73" s="139">
        <v>0</v>
      </c>
      <c r="J73" s="112">
        <f t="shared" si="42"/>
        <v>385000</v>
      </c>
      <c r="K73" s="142">
        <f t="shared" si="57"/>
        <v>385000</v>
      </c>
      <c r="L73" s="139">
        <f t="shared" si="58"/>
        <v>0</v>
      </c>
      <c r="M73" s="112">
        <f t="shared" si="43"/>
        <v>0</v>
      </c>
      <c r="N73" s="142"/>
      <c r="O73" s="139">
        <v>0</v>
      </c>
      <c r="P73" s="112">
        <f t="shared" si="44"/>
        <v>385000</v>
      </c>
      <c r="Q73" s="142">
        <f t="shared" si="59"/>
        <v>385000</v>
      </c>
      <c r="R73" s="139">
        <f t="shared" si="60"/>
        <v>0</v>
      </c>
      <c r="S73" s="112">
        <f t="shared" si="45"/>
        <v>0</v>
      </c>
      <c r="T73" s="142"/>
      <c r="U73" s="139">
        <v>0</v>
      </c>
      <c r="V73" s="112">
        <f t="shared" si="46"/>
        <v>385000</v>
      </c>
      <c r="W73" s="142">
        <f t="shared" si="61"/>
        <v>385000</v>
      </c>
      <c r="X73" s="139">
        <f t="shared" si="62"/>
        <v>0</v>
      </c>
      <c r="Y73" s="112">
        <f t="shared" si="47"/>
        <v>-55000</v>
      </c>
      <c r="Z73" s="142">
        <v>-55000</v>
      </c>
      <c r="AA73" s="139"/>
      <c r="AB73" s="112">
        <f t="shared" si="48"/>
        <v>330000</v>
      </c>
      <c r="AC73" s="142">
        <f t="shared" si="63"/>
        <v>330000</v>
      </c>
      <c r="AD73" s="139">
        <f t="shared" si="64"/>
        <v>0</v>
      </c>
      <c r="AF73" s="46">
        <f t="shared" si="2"/>
        <v>0</v>
      </c>
      <c r="AG73" s="46"/>
    </row>
    <row r="74" spans="1:33" ht="12.75">
      <c r="A74" s="65"/>
      <c r="B74" s="140">
        <v>71012</v>
      </c>
      <c r="C74" s="129" t="s">
        <v>59</v>
      </c>
      <c r="D74" s="112">
        <v>22258000</v>
      </c>
      <c r="E74" s="142">
        <v>19238000</v>
      </c>
      <c r="F74" s="139">
        <v>3020000</v>
      </c>
      <c r="G74" s="112">
        <f t="shared" si="41"/>
        <v>0</v>
      </c>
      <c r="H74" s="142"/>
      <c r="I74" s="139"/>
      <c r="J74" s="112">
        <f t="shared" si="42"/>
        <v>22258000</v>
      </c>
      <c r="K74" s="142">
        <f t="shared" si="57"/>
        <v>19238000</v>
      </c>
      <c r="L74" s="139">
        <f t="shared" si="58"/>
        <v>3020000</v>
      </c>
      <c r="M74" s="112">
        <f t="shared" si="43"/>
        <v>0</v>
      </c>
      <c r="N74" s="142"/>
      <c r="O74" s="139"/>
      <c r="P74" s="112">
        <f t="shared" si="44"/>
        <v>22258000</v>
      </c>
      <c r="Q74" s="142">
        <f t="shared" si="59"/>
        <v>19238000</v>
      </c>
      <c r="R74" s="139">
        <f t="shared" si="60"/>
        <v>3020000</v>
      </c>
      <c r="S74" s="112">
        <f t="shared" si="45"/>
        <v>0</v>
      </c>
      <c r="T74" s="142">
        <v>800000</v>
      </c>
      <c r="U74" s="139">
        <v>-800000</v>
      </c>
      <c r="V74" s="112">
        <f t="shared" si="46"/>
        <v>22258000</v>
      </c>
      <c r="W74" s="142">
        <f t="shared" si="61"/>
        <v>20038000</v>
      </c>
      <c r="X74" s="139">
        <f t="shared" si="62"/>
        <v>2220000</v>
      </c>
      <c r="Y74" s="112">
        <f t="shared" si="47"/>
        <v>0</v>
      </c>
      <c r="Z74" s="142"/>
      <c r="AA74" s="139"/>
      <c r="AB74" s="112">
        <f t="shared" si="48"/>
        <v>22258000</v>
      </c>
      <c r="AC74" s="142">
        <f t="shared" si="63"/>
        <v>20038000</v>
      </c>
      <c r="AD74" s="139">
        <f t="shared" si="64"/>
        <v>2220000</v>
      </c>
      <c r="AF74" s="46">
        <f t="shared" si="2"/>
        <v>0</v>
      </c>
      <c r="AG74" s="46"/>
    </row>
    <row r="75" spans="1:33" ht="12.75">
      <c r="A75" s="65"/>
      <c r="B75" s="140">
        <v>71095</v>
      </c>
      <c r="C75" s="129" t="s">
        <v>29</v>
      </c>
      <c r="D75" s="112">
        <v>3533000</v>
      </c>
      <c r="E75" s="142">
        <v>2033000</v>
      </c>
      <c r="F75" s="143">
        <v>1500000</v>
      </c>
      <c r="G75" s="112">
        <f t="shared" si="41"/>
        <v>0</v>
      </c>
      <c r="H75" s="142">
        <f>H76+H78</f>
        <v>0</v>
      </c>
      <c r="I75" s="143">
        <f>I76+I78</f>
        <v>0</v>
      </c>
      <c r="J75" s="112">
        <f t="shared" si="42"/>
        <v>3533000</v>
      </c>
      <c r="K75" s="142">
        <f t="shared" si="57"/>
        <v>2033000</v>
      </c>
      <c r="L75" s="143">
        <f t="shared" si="58"/>
        <v>1500000</v>
      </c>
      <c r="M75" s="112">
        <f t="shared" si="43"/>
        <v>0</v>
      </c>
      <c r="N75" s="142">
        <f>N76+N78</f>
        <v>0</v>
      </c>
      <c r="O75" s="143">
        <f>O76+O78</f>
        <v>0</v>
      </c>
      <c r="P75" s="112">
        <f t="shared" si="44"/>
        <v>3533000</v>
      </c>
      <c r="Q75" s="142">
        <f t="shared" si="59"/>
        <v>2033000</v>
      </c>
      <c r="R75" s="143">
        <f t="shared" si="60"/>
        <v>1500000</v>
      </c>
      <c r="S75" s="112">
        <f t="shared" si="45"/>
        <v>-10000</v>
      </c>
      <c r="T75" s="142">
        <f>T76+T78</f>
        <v>-10000</v>
      </c>
      <c r="U75" s="143">
        <f>U76+U78</f>
        <v>0</v>
      </c>
      <c r="V75" s="112">
        <f t="shared" si="46"/>
        <v>3523000</v>
      </c>
      <c r="W75" s="142">
        <f t="shared" si="61"/>
        <v>2023000</v>
      </c>
      <c r="X75" s="143">
        <f t="shared" si="62"/>
        <v>1500000</v>
      </c>
      <c r="Y75" s="112">
        <f t="shared" si="47"/>
        <v>55000</v>
      </c>
      <c r="Z75" s="142">
        <f>Z76+Z78</f>
        <v>55000</v>
      </c>
      <c r="AA75" s="143">
        <f>AA76+AA78</f>
        <v>0</v>
      </c>
      <c r="AB75" s="112">
        <f t="shared" si="48"/>
        <v>3578000</v>
      </c>
      <c r="AC75" s="142">
        <f t="shared" si="63"/>
        <v>2078000</v>
      </c>
      <c r="AD75" s="143">
        <f t="shared" si="64"/>
        <v>1500000</v>
      </c>
      <c r="AF75" s="46">
        <f t="shared" si="2"/>
        <v>0</v>
      </c>
      <c r="AG75" s="46"/>
    </row>
    <row r="76" spans="1:33" ht="24" customHeight="1">
      <c r="A76" s="65"/>
      <c r="B76" s="159"/>
      <c r="C76" s="160" t="s">
        <v>60</v>
      </c>
      <c r="D76" s="88">
        <v>3023000</v>
      </c>
      <c r="E76" s="86">
        <v>1523000</v>
      </c>
      <c r="F76" s="161">
        <v>1500000</v>
      </c>
      <c r="G76" s="88">
        <f t="shared" si="41"/>
        <v>0</v>
      </c>
      <c r="H76" s="86"/>
      <c r="I76" s="161"/>
      <c r="J76" s="88">
        <f t="shared" si="42"/>
        <v>3023000</v>
      </c>
      <c r="K76" s="86">
        <f t="shared" si="57"/>
        <v>1523000</v>
      </c>
      <c r="L76" s="161">
        <f t="shared" si="58"/>
        <v>1500000</v>
      </c>
      <c r="M76" s="88">
        <f t="shared" si="43"/>
        <v>0</v>
      </c>
      <c r="N76" s="86"/>
      <c r="O76" s="161"/>
      <c r="P76" s="88">
        <f t="shared" si="44"/>
        <v>3023000</v>
      </c>
      <c r="Q76" s="86">
        <f t="shared" si="59"/>
        <v>1523000</v>
      </c>
      <c r="R76" s="161">
        <f t="shared" si="60"/>
        <v>1500000</v>
      </c>
      <c r="S76" s="88">
        <f t="shared" si="45"/>
        <v>-10000</v>
      </c>
      <c r="T76" s="86">
        <v>-10000</v>
      </c>
      <c r="U76" s="161"/>
      <c r="V76" s="88">
        <f t="shared" si="46"/>
        <v>3013000</v>
      </c>
      <c r="W76" s="86">
        <f t="shared" si="61"/>
        <v>1513000</v>
      </c>
      <c r="X76" s="161">
        <f t="shared" si="62"/>
        <v>1500000</v>
      </c>
      <c r="Y76" s="88">
        <f t="shared" si="47"/>
        <v>0</v>
      </c>
      <c r="Z76" s="86"/>
      <c r="AA76" s="161"/>
      <c r="AB76" s="88">
        <f t="shared" si="48"/>
        <v>3013000</v>
      </c>
      <c r="AC76" s="86">
        <f t="shared" si="63"/>
        <v>1513000</v>
      </c>
      <c r="AD76" s="161">
        <f t="shared" si="64"/>
        <v>1500000</v>
      </c>
      <c r="AF76" s="46">
        <f t="shared" si="2"/>
        <v>0</v>
      </c>
      <c r="AG76" s="46"/>
    </row>
    <row r="77" spans="1:35" s="100" customFormat="1" ht="12.75">
      <c r="A77" s="94"/>
      <c r="B77" s="109"/>
      <c r="C77" s="122" t="s">
        <v>42</v>
      </c>
      <c r="D77" s="123">
        <v>2500000</v>
      </c>
      <c r="E77" s="124">
        <v>1000000</v>
      </c>
      <c r="F77" s="125">
        <v>1500000</v>
      </c>
      <c r="G77" s="123">
        <f t="shared" si="41"/>
        <v>0</v>
      </c>
      <c r="H77" s="124"/>
      <c r="I77" s="125"/>
      <c r="J77" s="123">
        <f t="shared" si="42"/>
        <v>2500000</v>
      </c>
      <c r="K77" s="124">
        <f t="shared" si="57"/>
        <v>1000000</v>
      </c>
      <c r="L77" s="125">
        <f t="shared" si="58"/>
        <v>1500000</v>
      </c>
      <c r="M77" s="123">
        <f t="shared" si="43"/>
        <v>0</v>
      </c>
      <c r="N77" s="124"/>
      <c r="O77" s="125"/>
      <c r="P77" s="123">
        <f t="shared" si="44"/>
        <v>2500000</v>
      </c>
      <c r="Q77" s="124">
        <f t="shared" si="59"/>
        <v>1000000</v>
      </c>
      <c r="R77" s="125">
        <f t="shared" si="60"/>
        <v>1500000</v>
      </c>
      <c r="S77" s="123">
        <f t="shared" si="45"/>
        <v>0</v>
      </c>
      <c r="T77" s="124"/>
      <c r="U77" s="125"/>
      <c r="V77" s="123">
        <f t="shared" si="46"/>
        <v>2500000</v>
      </c>
      <c r="W77" s="124">
        <f t="shared" si="61"/>
        <v>1000000</v>
      </c>
      <c r="X77" s="125">
        <f t="shared" si="62"/>
        <v>1500000</v>
      </c>
      <c r="Y77" s="123">
        <f t="shared" si="47"/>
        <v>0</v>
      </c>
      <c r="Z77" s="124"/>
      <c r="AA77" s="125"/>
      <c r="AB77" s="123">
        <f t="shared" si="48"/>
        <v>2500000</v>
      </c>
      <c r="AC77" s="124">
        <f t="shared" si="63"/>
        <v>1000000</v>
      </c>
      <c r="AD77" s="125">
        <f t="shared" si="64"/>
        <v>1500000</v>
      </c>
      <c r="AF77" s="46">
        <f t="shared" si="2"/>
        <v>0</v>
      </c>
      <c r="AG77" s="46"/>
      <c r="AI77" s="162"/>
    </row>
    <row r="78" spans="1:33" ht="12.75">
      <c r="A78" s="65"/>
      <c r="B78" s="163"/>
      <c r="C78" s="157" t="s">
        <v>61</v>
      </c>
      <c r="D78" s="112">
        <v>510000</v>
      </c>
      <c r="E78" s="113">
        <v>510000</v>
      </c>
      <c r="F78" s="128">
        <v>0</v>
      </c>
      <c r="G78" s="112">
        <f t="shared" si="41"/>
        <v>0</v>
      </c>
      <c r="H78" s="113"/>
      <c r="I78" s="128">
        <v>0</v>
      </c>
      <c r="J78" s="112">
        <f t="shared" si="42"/>
        <v>510000</v>
      </c>
      <c r="K78" s="113">
        <f t="shared" si="57"/>
        <v>510000</v>
      </c>
      <c r="L78" s="128">
        <f t="shared" si="58"/>
        <v>0</v>
      </c>
      <c r="M78" s="112">
        <f t="shared" si="43"/>
        <v>0</v>
      </c>
      <c r="N78" s="113"/>
      <c r="O78" s="128">
        <v>0</v>
      </c>
      <c r="P78" s="112">
        <f t="shared" si="44"/>
        <v>510000</v>
      </c>
      <c r="Q78" s="113">
        <f t="shared" si="59"/>
        <v>510000</v>
      </c>
      <c r="R78" s="128">
        <f t="shared" si="60"/>
        <v>0</v>
      </c>
      <c r="S78" s="112">
        <f t="shared" si="45"/>
        <v>0</v>
      </c>
      <c r="T78" s="113"/>
      <c r="U78" s="128">
        <v>0</v>
      </c>
      <c r="V78" s="112">
        <f t="shared" si="46"/>
        <v>510000</v>
      </c>
      <c r="W78" s="113">
        <f t="shared" si="61"/>
        <v>510000</v>
      </c>
      <c r="X78" s="128">
        <f t="shared" si="62"/>
        <v>0</v>
      </c>
      <c r="Y78" s="112">
        <f t="shared" si="47"/>
        <v>55000</v>
      </c>
      <c r="Z78" s="113">
        <v>55000</v>
      </c>
      <c r="AA78" s="128"/>
      <c r="AB78" s="112">
        <f t="shared" si="48"/>
        <v>565000</v>
      </c>
      <c r="AC78" s="113">
        <f t="shared" si="63"/>
        <v>565000</v>
      </c>
      <c r="AD78" s="128">
        <f t="shared" si="64"/>
        <v>0</v>
      </c>
      <c r="AF78" s="46">
        <f t="shared" si="2"/>
        <v>0</v>
      </c>
      <c r="AG78" s="46"/>
    </row>
    <row r="79" spans="1:33" ht="12.75">
      <c r="A79" s="65"/>
      <c r="B79" s="133">
        <v>720</v>
      </c>
      <c r="C79" s="134" t="s">
        <v>62</v>
      </c>
      <c r="D79" s="75">
        <v>3485000</v>
      </c>
      <c r="E79" s="76">
        <v>100000</v>
      </c>
      <c r="F79" s="158">
        <v>3385000</v>
      </c>
      <c r="G79" s="75">
        <f t="shared" si="41"/>
        <v>0</v>
      </c>
      <c r="H79" s="76">
        <f>H80</f>
        <v>0</v>
      </c>
      <c r="I79" s="158">
        <f>I80</f>
        <v>0</v>
      </c>
      <c r="J79" s="75">
        <f t="shared" si="42"/>
        <v>3485000</v>
      </c>
      <c r="K79" s="76">
        <f>K80</f>
        <v>100000</v>
      </c>
      <c r="L79" s="158">
        <f>L80</f>
        <v>3385000</v>
      </c>
      <c r="M79" s="75">
        <f t="shared" si="43"/>
        <v>0</v>
      </c>
      <c r="N79" s="76">
        <f>N80</f>
        <v>0</v>
      </c>
      <c r="O79" s="158">
        <f>O80</f>
        <v>0</v>
      </c>
      <c r="P79" s="75">
        <f t="shared" si="44"/>
        <v>3485000</v>
      </c>
      <c r="Q79" s="76">
        <f>Q80</f>
        <v>100000</v>
      </c>
      <c r="R79" s="158">
        <f>R80</f>
        <v>3385000</v>
      </c>
      <c r="S79" s="75">
        <f t="shared" si="45"/>
        <v>-160000</v>
      </c>
      <c r="T79" s="76">
        <f>T80</f>
        <v>0</v>
      </c>
      <c r="U79" s="158">
        <f>U80</f>
        <v>-160000</v>
      </c>
      <c r="V79" s="75">
        <f t="shared" si="46"/>
        <v>3325000</v>
      </c>
      <c r="W79" s="76">
        <f>W80</f>
        <v>100000</v>
      </c>
      <c r="X79" s="158">
        <f>X80</f>
        <v>3225000</v>
      </c>
      <c r="Y79" s="75">
        <f t="shared" si="47"/>
        <v>0</v>
      </c>
      <c r="Z79" s="76">
        <f>Z80</f>
        <v>0</v>
      </c>
      <c r="AA79" s="158">
        <f>AA80</f>
        <v>0</v>
      </c>
      <c r="AB79" s="75">
        <f t="shared" si="48"/>
        <v>3325000</v>
      </c>
      <c r="AC79" s="76">
        <f>AC80</f>
        <v>100000</v>
      </c>
      <c r="AD79" s="158">
        <f>AD80</f>
        <v>3225000</v>
      </c>
      <c r="AF79" s="46">
        <f t="shared" si="2"/>
        <v>0</v>
      </c>
      <c r="AG79" s="46"/>
    </row>
    <row r="80" spans="1:33" ht="12.75">
      <c r="A80" s="65"/>
      <c r="B80" s="106">
        <v>72095</v>
      </c>
      <c r="C80" s="164" t="s">
        <v>29</v>
      </c>
      <c r="D80" s="165">
        <v>3485000</v>
      </c>
      <c r="E80" s="138">
        <v>100000</v>
      </c>
      <c r="F80" s="139">
        <v>3385000</v>
      </c>
      <c r="G80" s="165">
        <f t="shared" si="41"/>
        <v>0</v>
      </c>
      <c r="H80" s="138"/>
      <c r="I80" s="139"/>
      <c r="J80" s="165">
        <f t="shared" si="42"/>
        <v>3485000</v>
      </c>
      <c r="K80" s="138">
        <f>E80+H80</f>
        <v>100000</v>
      </c>
      <c r="L80" s="139">
        <f>I80+F80</f>
        <v>3385000</v>
      </c>
      <c r="M80" s="165">
        <f t="shared" si="43"/>
        <v>0</v>
      </c>
      <c r="N80" s="138"/>
      <c r="O80" s="139"/>
      <c r="P80" s="165">
        <f t="shared" si="44"/>
        <v>3485000</v>
      </c>
      <c r="Q80" s="138">
        <f>K80+N80</f>
        <v>100000</v>
      </c>
      <c r="R80" s="139">
        <f>O80+L80</f>
        <v>3385000</v>
      </c>
      <c r="S80" s="165">
        <f t="shared" si="45"/>
        <v>-160000</v>
      </c>
      <c r="T80" s="138"/>
      <c r="U80" s="139">
        <v>-160000</v>
      </c>
      <c r="V80" s="165">
        <f t="shared" si="46"/>
        <v>3325000</v>
      </c>
      <c r="W80" s="138">
        <f>Q80+T80</f>
        <v>100000</v>
      </c>
      <c r="X80" s="139">
        <f>U80+R80</f>
        <v>3225000</v>
      </c>
      <c r="Y80" s="165">
        <f t="shared" si="47"/>
        <v>0</v>
      </c>
      <c r="Z80" s="138"/>
      <c r="AA80" s="139"/>
      <c r="AB80" s="165">
        <f t="shared" si="48"/>
        <v>3325000</v>
      </c>
      <c r="AC80" s="138">
        <f>W80+Z80</f>
        <v>100000</v>
      </c>
      <c r="AD80" s="139">
        <f>AA80+X80</f>
        <v>3225000</v>
      </c>
      <c r="AF80" s="46">
        <f t="shared" si="2"/>
        <v>0</v>
      </c>
      <c r="AG80" s="46"/>
    </row>
    <row r="81" spans="1:35" s="100" customFormat="1" ht="12.75">
      <c r="A81" s="94"/>
      <c r="B81" s="166"/>
      <c r="C81" s="167" t="s">
        <v>42</v>
      </c>
      <c r="D81" s="168">
        <v>3034927</v>
      </c>
      <c r="E81" s="169">
        <v>0</v>
      </c>
      <c r="F81" s="170">
        <v>3034927</v>
      </c>
      <c r="G81" s="168">
        <f t="shared" si="41"/>
        <v>0</v>
      </c>
      <c r="H81" s="169">
        <v>0</v>
      </c>
      <c r="I81" s="170"/>
      <c r="J81" s="168">
        <f t="shared" si="42"/>
        <v>3034927</v>
      </c>
      <c r="K81" s="169">
        <f>E81+H81</f>
        <v>0</v>
      </c>
      <c r="L81" s="170">
        <f>I81+F81</f>
        <v>3034927</v>
      </c>
      <c r="M81" s="168">
        <f t="shared" si="43"/>
        <v>0</v>
      </c>
      <c r="N81" s="169">
        <v>0</v>
      </c>
      <c r="O81" s="170"/>
      <c r="P81" s="168">
        <f t="shared" si="44"/>
        <v>3034927</v>
      </c>
      <c r="Q81" s="169">
        <f>K81+N81</f>
        <v>0</v>
      </c>
      <c r="R81" s="170">
        <f>O81+L81</f>
        <v>3034927</v>
      </c>
      <c r="S81" s="168">
        <f t="shared" si="45"/>
        <v>0</v>
      </c>
      <c r="T81" s="169">
        <v>0</v>
      </c>
      <c r="U81" s="170"/>
      <c r="V81" s="168">
        <f t="shared" si="46"/>
        <v>3034927</v>
      </c>
      <c r="W81" s="169">
        <f>Q81+T81</f>
        <v>0</v>
      </c>
      <c r="X81" s="170">
        <f>U81+R81</f>
        <v>3034927</v>
      </c>
      <c r="Y81" s="168">
        <f t="shared" si="47"/>
        <v>0</v>
      </c>
      <c r="Z81" s="169"/>
      <c r="AA81" s="170"/>
      <c r="AB81" s="168">
        <f t="shared" si="48"/>
        <v>3034927</v>
      </c>
      <c r="AC81" s="169">
        <f>W81+Z81</f>
        <v>0</v>
      </c>
      <c r="AD81" s="170">
        <f>AA81+X81</f>
        <v>3034927</v>
      </c>
      <c r="AF81" s="46">
        <f t="shared" si="2"/>
        <v>0</v>
      </c>
      <c r="AG81" s="46"/>
      <c r="AI81" s="162"/>
    </row>
    <row r="82" spans="1:33" s="100" customFormat="1" ht="12.75">
      <c r="A82" s="94"/>
      <c r="B82" s="101">
        <v>730</v>
      </c>
      <c r="C82" s="134" t="s">
        <v>63</v>
      </c>
      <c r="D82" s="75">
        <v>10033</v>
      </c>
      <c r="E82" s="76">
        <v>10033</v>
      </c>
      <c r="F82" s="171">
        <v>0</v>
      </c>
      <c r="G82" s="75">
        <f t="shared" si="41"/>
        <v>0</v>
      </c>
      <c r="H82" s="76">
        <f>H83</f>
        <v>0</v>
      </c>
      <c r="I82" s="171">
        <f>I83</f>
        <v>0</v>
      </c>
      <c r="J82" s="75">
        <f t="shared" si="42"/>
        <v>10033</v>
      </c>
      <c r="K82" s="76">
        <f>K83</f>
        <v>10033</v>
      </c>
      <c r="L82" s="171">
        <f>L83</f>
        <v>0</v>
      </c>
      <c r="M82" s="75">
        <f t="shared" si="43"/>
        <v>0</v>
      </c>
      <c r="N82" s="76">
        <f>N83</f>
        <v>0</v>
      </c>
      <c r="O82" s="171">
        <f>O83</f>
        <v>0</v>
      </c>
      <c r="P82" s="75">
        <f t="shared" si="44"/>
        <v>10033</v>
      </c>
      <c r="Q82" s="76">
        <f>Q83</f>
        <v>10033</v>
      </c>
      <c r="R82" s="171">
        <f>R83</f>
        <v>0</v>
      </c>
      <c r="S82" s="75">
        <f t="shared" si="45"/>
        <v>0</v>
      </c>
      <c r="T82" s="76">
        <f>T83</f>
        <v>0</v>
      </c>
      <c r="U82" s="171">
        <f>U83</f>
        <v>0</v>
      </c>
      <c r="V82" s="75">
        <f t="shared" si="46"/>
        <v>10033</v>
      </c>
      <c r="W82" s="76">
        <f>W83</f>
        <v>10033</v>
      </c>
      <c r="X82" s="171">
        <f>X83</f>
        <v>0</v>
      </c>
      <c r="Y82" s="75">
        <f t="shared" si="47"/>
        <v>0</v>
      </c>
      <c r="Z82" s="76">
        <f>Z83</f>
        <v>0</v>
      </c>
      <c r="AA82" s="171">
        <f>AA83</f>
        <v>0</v>
      </c>
      <c r="AB82" s="75">
        <f t="shared" si="48"/>
        <v>10033</v>
      </c>
      <c r="AC82" s="76">
        <f>AC83</f>
        <v>10033</v>
      </c>
      <c r="AD82" s="171">
        <f>AD83</f>
        <v>0</v>
      </c>
      <c r="AF82" s="46">
        <f t="shared" si="2"/>
        <v>0</v>
      </c>
      <c r="AG82" s="46"/>
    </row>
    <row r="83" spans="1:33" s="100" customFormat="1" ht="12.75">
      <c r="A83" s="94"/>
      <c r="B83" s="106">
        <v>73095</v>
      </c>
      <c r="C83" s="164" t="s">
        <v>29</v>
      </c>
      <c r="D83" s="165">
        <v>10033</v>
      </c>
      <c r="E83" s="138">
        <v>10033</v>
      </c>
      <c r="F83" s="139">
        <v>0</v>
      </c>
      <c r="G83" s="165">
        <f t="shared" si="41"/>
        <v>0</v>
      </c>
      <c r="H83" s="138">
        <f>H84</f>
        <v>0</v>
      </c>
      <c r="I83" s="139">
        <v>0</v>
      </c>
      <c r="J83" s="165">
        <f t="shared" si="42"/>
        <v>10033</v>
      </c>
      <c r="K83" s="138">
        <f>E83+H83</f>
        <v>10033</v>
      </c>
      <c r="L83" s="139">
        <f>I83+F83</f>
        <v>0</v>
      </c>
      <c r="M83" s="165">
        <f t="shared" si="43"/>
        <v>0</v>
      </c>
      <c r="N83" s="138">
        <f>N84</f>
        <v>0</v>
      </c>
      <c r="O83" s="139">
        <v>0</v>
      </c>
      <c r="P83" s="165">
        <f t="shared" si="44"/>
        <v>10033</v>
      </c>
      <c r="Q83" s="138">
        <f>K83+N83</f>
        <v>10033</v>
      </c>
      <c r="R83" s="139">
        <f>O83+L83</f>
        <v>0</v>
      </c>
      <c r="S83" s="165">
        <f t="shared" si="45"/>
        <v>0</v>
      </c>
      <c r="T83" s="138">
        <f>T84</f>
        <v>0</v>
      </c>
      <c r="U83" s="139">
        <v>0</v>
      </c>
      <c r="V83" s="165">
        <f t="shared" si="46"/>
        <v>10033</v>
      </c>
      <c r="W83" s="138">
        <f>Q83+T83</f>
        <v>10033</v>
      </c>
      <c r="X83" s="139">
        <f>U83+R83</f>
        <v>0</v>
      </c>
      <c r="Y83" s="165">
        <f t="shared" si="47"/>
        <v>0</v>
      </c>
      <c r="Z83" s="138">
        <f>Z84</f>
        <v>0</v>
      </c>
      <c r="AA83" s="139"/>
      <c r="AB83" s="165">
        <f t="shared" si="48"/>
        <v>10033</v>
      </c>
      <c r="AC83" s="138">
        <f>W83+Z83</f>
        <v>10033</v>
      </c>
      <c r="AD83" s="139">
        <f>AA83+X83</f>
        <v>0</v>
      </c>
      <c r="AF83" s="46">
        <f t="shared" si="2"/>
        <v>0</v>
      </c>
      <c r="AG83" s="46"/>
    </row>
    <row r="84" spans="1:33" s="100" customFormat="1" ht="15.75" customHeight="1">
      <c r="A84" s="94"/>
      <c r="B84" s="166"/>
      <c r="C84" s="172" t="s">
        <v>64</v>
      </c>
      <c r="D84" s="168">
        <v>10033</v>
      </c>
      <c r="E84" s="169">
        <v>10033</v>
      </c>
      <c r="F84" s="170">
        <v>0</v>
      </c>
      <c r="G84" s="168">
        <f t="shared" si="41"/>
        <v>0</v>
      </c>
      <c r="H84" s="169"/>
      <c r="I84" s="170">
        <v>0</v>
      </c>
      <c r="J84" s="168">
        <f t="shared" si="42"/>
        <v>10033</v>
      </c>
      <c r="K84" s="169">
        <f>E84+H84</f>
        <v>10033</v>
      </c>
      <c r="L84" s="170">
        <f>I84+F84</f>
        <v>0</v>
      </c>
      <c r="M84" s="168">
        <f t="shared" si="43"/>
        <v>0</v>
      </c>
      <c r="N84" s="169"/>
      <c r="O84" s="170">
        <v>0</v>
      </c>
      <c r="P84" s="168">
        <f t="shared" si="44"/>
        <v>10033</v>
      </c>
      <c r="Q84" s="169">
        <f>K84+N84</f>
        <v>10033</v>
      </c>
      <c r="R84" s="170">
        <f>O84+L84</f>
        <v>0</v>
      </c>
      <c r="S84" s="168">
        <f t="shared" si="45"/>
        <v>0</v>
      </c>
      <c r="T84" s="169"/>
      <c r="U84" s="170">
        <v>0</v>
      </c>
      <c r="V84" s="168">
        <f t="shared" si="46"/>
        <v>10033</v>
      </c>
      <c r="W84" s="169">
        <f>Q84+T84</f>
        <v>10033</v>
      </c>
      <c r="X84" s="170">
        <f>U84+R84</f>
        <v>0</v>
      </c>
      <c r="Y84" s="168">
        <f t="shared" si="47"/>
        <v>0</v>
      </c>
      <c r="Z84" s="169"/>
      <c r="AA84" s="170"/>
      <c r="AB84" s="168">
        <f t="shared" si="48"/>
        <v>10033</v>
      </c>
      <c r="AC84" s="169">
        <f>W84+Z84</f>
        <v>10033</v>
      </c>
      <c r="AD84" s="170">
        <f>AA84+X84</f>
        <v>0</v>
      </c>
      <c r="AF84" s="46">
        <f t="shared" si="2"/>
        <v>0</v>
      </c>
      <c r="AG84" s="46"/>
    </row>
    <row r="85" spans="1:33" ht="12.75">
      <c r="A85" s="65"/>
      <c r="B85" s="101">
        <v>750</v>
      </c>
      <c r="C85" s="134" t="s">
        <v>65</v>
      </c>
      <c r="D85" s="75">
        <v>131573770</v>
      </c>
      <c r="E85" s="76">
        <v>124292770</v>
      </c>
      <c r="F85" s="171">
        <v>7281000</v>
      </c>
      <c r="G85" s="75">
        <f t="shared" si="41"/>
        <v>-81432</v>
      </c>
      <c r="H85" s="76">
        <f>H86+H87+H90+H89</f>
        <v>-381432</v>
      </c>
      <c r="I85" s="171">
        <f>I86+I87+I90+I89</f>
        <v>300000</v>
      </c>
      <c r="J85" s="75">
        <f t="shared" si="42"/>
        <v>131492338</v>
      </c>
      <c r="K85" s="76">
        <f>K86+K87+K90+K89</f>
        <v>123911338</v>
      </c>
      <c r="L85" s="171">
        <f>L86+L87+L90+L89</f>
        <v>7581000</v>
      </c>
      <c r="M85" s="75">
        <f t="shared" si="43"/>
        <v>3231953</v>
      </c>
      <c r="N85" s="76">
        <f>N86+N87+N90+N89</f>
        <v>3231953</v>
      </c>
      <c r="O85" s="171">
        <f>O86+O87+O90+O89</f>
        <v>0</v>
      </c>
      <c r="P85" s="75">
        <f t="shared" si="44"/>
        <v>134724291</v>
      </c>
      <c r="Q85" s="76">
        <f>Q86+Q87+Q90+Q89</f>
        <v>127143291</v>
      </c>
      <c r="R85" s="171">
        <f>R86+R87+R90+R89</f>
        <v>7581000</v>
      </c>
      <c r="S85" s="75">
        <f t="shared" si="45"/>
        <v>6114440</v>
      </c>
      <c r="T85" s="76">
        <f>T86+T87+T90+T89</f>
        <v>6034440</v>
      </c>
      <c r="U85" s="171">
        <f>U86+U87+U90+U89</f>
        <v>80000</v>
      </c>
      <c r="V85" s="75">
        <f t="shared" si="46"/>
        <v>140838731</v>
      </c>
      <c r="W85" s="76">
        <f>W86+W87+W90+W89</f>
        <v>133177731</v>
      </c>
      <c r="X85" s="171">
        <f>X86+X87+X90+X89</f>
        <v>7661000</v>
      </c>
      <c r="Y85" s="75">
        <f t="shared" si="47"/>
        <v>57000</v>
      </c>
      <c r="Z85" s="76">
        <f>Z86+Z87+Z90+Z89</f>
        <v>57000</v>
      </c>
      <c r="AA85" s="171">
        <f>AA86+AA87+AA90+AA89</f>
        <v>0</v>
      </c>
      <c r="AB85" s="75">
        <f t="shared" si="48"/>
        <v>140895731</v>
      </c>
      <c r="AC85" s="76">
        <f>AC86+AC87+AC90+AC89</f>
        <v>133234731</v>
      </c>
      <c r="AD85" s="171">
        <f>AD86+AD87+AD90+AD89</f>
        <v>7661000</v>
      </c>
      <c r="AF85" s="46">
        <f t="shared" si="2"/>
        <v>0</v>
      </c>
      <c r="AG85" s="46"/>
    </row>
    <row r="86" spans="1:33" ht="12.75">
      <c r="A86" s="65"/>
      <c r="B86" s="106">
        <v>75022</v>
      </c>
      <c r="C86" s="164" t="s">
        <v>66</v>
      </c>
      <c r="D86" s="165">
        <v>2505000</v>
      </c>
      <c r="E86" s="138">
        <v>2505000</v>
      </c>
      <c r="F86" s="139">
        <v>0</v>
      </c>
      <c r="G86" s="165">
        <f t="shared" si="41"/>
        <v>0</v>
      </c>
      <c r="H86" s="138"/>
      <c r="I86" s="139">
        <v>0</v>
      </c>
      <c r="J86" s="165">
        <f t="shared" si="42"/>
        <v>2505000</v>
      </c>
      <c r="K86" s="138">
        <f aca="true" t="shared" si="65" ref="K86:K94">E86+H86</f>
        <v>2505000</v>
      </c>
      <c r="L86" s="139">
        <f aca="true" t="shared" si="66" ref="L86:L94">I86+F86</f>
        <v>0</v>
      </c>
      <c r="M86" s="165">
        <f t="shared" si="43"/>
        <v>0</v>
      </c>
      <c r="N86" s="138"/>
      <c r="O86" s="139">
        <v>0</v>
      </c>
      <c r="P86" s="165">
        <f t="shared" si="44"/>
        <v>2505000</v>
      </c>
      <c r="Q86" s="138">
        <f aca="true" t="shared" si="67" ref="Q86:Q94">K86+N86</f>
        <v>2505000</v>
      </c>
      <c r="R86" s="139">
        <f aca="true" t="shared" si="68" ref="R86:R94">O86+L86</f>
        <v>0</v>
      </c>
      <c r="S86" s="165">
        <f t="shared" si="45"/>
        <v>24000</v>
      </c>
      <c r="T86" s="138">
        <v>24000</v>
      </c>
      <c r="U86" s="139">
        <v>0</v>
      </c>
      <c r="V86" s="165">
        <f t="shared" si="46"/>
        <v>2529000</v>
      </c>
      <c r="W86" s="138">
        <f aca="true" t="shared" si="69" ref="W86:W94">Q86+T86</f>
        <v>2529000</v>
      </c>
      <c r="X86" s="139">
        <f aca="true" t="shared" si="70" ref="X86:X94">U86+R86</f>
        <v>0</v>
      </c>
      <c r="Y86" s="165">
        <f t="shared" si="47"/>
        <v>0</v>
      </c>
      <c r="Z86" s="138"/>
      <c r="AA86" s="139"/>
      <c r="AB86" s="165">
        <f t="shared" si="48"/>
        <v>2529000</v>
      </c>
      <c r="AC86" s="138">
        <f aca="true" t="shared" si="71" ref="AC86:AC94">W86+Z86</f>
        <v>2529000</v>
      </c>
      <c r="AD86" s="139">
        <f aca="true" t="shared" si="72" ref="AD86:AD94">AA86+X86</f>
        <v>0</v>
      </c>
      <c r="AF86" s="46">
        <f t="shared" si="2"/>
        <v>0</v>
      </c>
      <c r="AG86" s="46"/>
    </row>
    <row r="87" spans="1:33" ht="12.75">
      <c r="A87" s="65"/>
      <c r="B87" s="106">
        <v>75023</v>
      </c>
      <c r="C87" s="164" t="s">
        <v>67</v>
      </c>
      <c r="D87" s="165">
        <v>118758371</v>
      </c>
      <c r="E87" s="138">
        <v>111477371</v>
      </c>
      <c r="F87" s="139">
        <v>7281000</v>
      </c>
      <c r="G87" s="165">
        <f t="shared" si="41"/>
        <v>300000</v>
      </c>
      <c r="H87" s="138"/>
      <c r="I87" s="139">
        <v>300000</v>
      </c>
      <c r="J87" s="165">
        <f t="shared" si="42"/>
        <v>119058371</v>
      </c>
      <c r="K87" s="138">
        <f t="shared" si="65"/>
        <v>111477371</v>
      </c>
      <c r="L87" s="139">
        <f t="shared" si="66"/>
        <v>7581000</v>
      </c>
      <c r="M87" s="165">
        <f t="shared" si="43"/>
        <v>231953</v>
      </c>
      <c r="N87" s="138">
        <f>64307+150000+17646</f>
        <v>231953</v>
      </c>
      <c r="O87" s="139">
        <v>0</v>
      </c>
      <c r="P87" s="165">
        <f t="shared" si="44"/>
        <v>119290324</v>
      </c>
      <c r="Q87" s="138">
        <f t="shared" si="67"/>
        <v>111709324</v>
      </c>
      <c r="R87" s="139">
        <f t="shared" si="68"/>
        <v>7581000</v>
      </c>
      <c r="S87" s="165">
        <f t="shared" si="45"/>
        <v>2388313</v>
      </c>
      <c r="T87" s="138">
        <f>128313+1860000+320000</f>
        <v>2308313</v>
      </c>
      <c r="U87" s="139">
        <f>240000-320000+160000</f>
        <v>80000</v>
      </c>
      <c r="V87" s="165">
        <f t="shared" si="46"/>
        <v>121678637</v>
      </c>
      <c r="W87" s="138">
        <f t="shared" si="69"/>
        <v>114017637</v>
      </c>
      <c r="X87" s="139">
        <f t="shared" si="70"/>
        <v>7661000</v>
      </c>
      <c r="Y87" s="165">
        <f t="shared" si="47"/>
        <v>57000</v>
      </c>
      <c r="Z87" s="138">
        <v>57000</v>
      </c>
      <c r="AA87" s="139"/>
      <c r="AB87" s="165">
        <f t="shared" si="48"/>
        <v>121735637</v>
      </c>
      <c r="AC87" s="138">
        <f t="shared" si="71"/>
        <v>114074637</v>
      </c>
      <c r="AD87" s="139">
        <f t="shared" si="72"/>
        <v>7661000</v>
      </c>
      <c r="AF87" s="46">
        <f aca="true" t="shared" si="73" ref="AF87:AF151">V87-(S87+P87)</f>
        <v>0</v>
      </c>
      <c r="AG87" s="46"/>
    </row>
    <row r="88" spans="1:33" s="100" customFormat="1" ht="13.5" hidden="1" thickBot="1">
      <c r="A88" s="94"/>
      <c r="B88" s="173"/>
      <c r="C88" s="174" t="s">
        <v>42</v>
      </c>
      <c r="D88" s="175">
        <v>0</v>
      </c>
      <c r="E88" s="176">
        <v>0</v>
      </c>
      <c r="F88" s="177">
        <v>0</v>
      </c>
      <c r="G88" s="175">
        <f>H88</f>
        <v>0</v>
      </c>
      <c r="H88" s="176"/>
      <c r="I88" s="177"/>
      <c r="J88" s="175">
        <f>K88</f>
        <v>0</v>
      </c>
      <c r="K88" s="176">
        <f t="shared" si="65"/>
        <v>0</v>
      </c>
      <c r="L88" s="177">
        <f t="shared" si="66"/>
        <v>0</v>
      </c>
      <c r="M88" s="175">
        <f>N88</f>
        <v>0</v>
      </c>
      <c r="N88" s="176"/>
      <c r="O88" s="177"/>
      <c r="P88" s="175">
        <f>Q88</f>
        <v>0</v>
      </c>
      <c r="Q88" s="176">
        <f t="shared" si="67"/>
        <v>0</v>
      </c>
      <c r="R88" s="177">
        <f t="shared" si="68"/>
        <v>0</v>
      </c>
      <c r="S88" s="175">
        <f>T88</f>
        <v>0</v>
      </c>
      <c r="T88" s="176"/>
      <c r="U88" s="177"/>
      <c r="V88" s="175">
        <f>W88</f>
        <v>0</v>
      </c>
      <c r="W88" s="176">
        <f t="shared" si="69"/>
        <v>0</v>
      </c>
      <c r="X88" s="177">
        <f t="shared" si="70"/>
        <v>0</v>
      </c>
      <c r="Y88" s="175">
        <f>Z88</f>
        <v>0</v>
      </c>
      <c r="Z88" s="176"/>
      <c r="AA88" s="177"/>
      <c r="AB88" s="175">
        <f>AC88</f>
        <v>0</v>
      </c>
      <c r="AC88" s="176">
        <f t="shared" si="71"/>
        <v>0</v>
      </c>
      <c r="AD88" s="177">
        <f t="shared" si="72"/>
        <v>0</v>
      </c>
      <c r="AF88" s="46">
        <f t="shared" si="73"/>
        <v>0</v>
      </c>
      <c r="AG88" s="46"/>
    </row>
    <row r="89" spans="1:33" ht="13.5" customHeight="1">
      <c r="A89" s="65"/>
      <c r="B89" s="140">
        <v>75075</v>
      </c>
      <c r="C89" s="129" t="s">
        <v>68</v>
      </c>
      <c r="D89" s="141">
        <v>7577500</v>
      </c>
      <c r="E89" s="142">
        <v>7577500</v>
      </c>
      <c r="F89" s="143">
        <v>0</v>
      </c>
      <c r="G89" s="141">
        <f aca="true" t="shared" si="74" ref="G89:G120">H89+I89</f>
        <v>-500000</v>
      </c>
      <c r="H89" s="142">
        <v>-500000</v>
      </c>
      <c r="I89" s="143">
        <v>0</v>
      </c>
      <c r="J89" s="141">
        <f aca="true" t="shared" si="75" ref="J89:J120">K89+L89</f>
        <v>7077500</v>
      </c>
      <c r="K89" s="142">
        <f t="shared" si="65"/>
        <v>7077500</v>
      </c>
      <c r="L89" s="143">
        <f t="shared" si="66"/>
        <v>0</v>
      </c>
      <c r="M89" s="141">
        <f aca="true" t="shared" si="76" ref="M89:M120">N89+O89</f>
        <v>3000000</v>
      </c>
      <c r="N89" s="142">
        <v>3000000</v>
      </c>
      <c r="O89" s="143">
        <v>0</v>
      </c>
      <c r="P89" s="141">
        <f aca="true" t="shared" si="77" ref="P89:P120">Q89+R89</f>
        <v>10077500</v>
      </c>
      <c r="Q89" s="142">
        <f t="shared" si="67"/>
        <v>10077500</v>
      </c>
      <c r="R89" s="143">
        <f t="shared" si="68"/>
        <v>0</v>
      </c>
      <c r="S89" s="141">
        <f aca="true" t="shared" si="78" ref="S89:S120">T89+U89</f>
        <v>3700000</v>
      </c>
      <c r="T89" s="142">
        <f>2710000+650000+20000+20000+180000+120000</f>
        <v>3700000</v>
      </c>
      <c r="U89" s="143">
        <v>0</v>
      </c>
      <c r="V89" s="141">
        <f aca="true" t="shared" si="79" ref="V89:V120">W89+X89</f>
        <v>13777500</v>
      </c>
      <c r="W89" s="142">
        <f t="shared" si="69"/>
        <v>13777500</v>
      </c>
      <c r="X89" s="143">
        <f t="shared" si="70"/>
        <v>0</v>
      </c>
      <c r="Y89" s="141">
        <f aca="true" t="shared" si="80" ref="Y89:Y120">Z89+AA89</f>
        <v>0</v>
      </c>
      <c r="Z89" s="142"/>
      <c r="AA89" s="143"/>
      <c r="AB89" s="141">
        <f aca="true" t="shared" si="81" ref="AB89:AB120">AC89+AD89</f>
        <v>13777500</v>
      </c>
      <c r="AC89" s="142">
        <f t="shared" si="71"/>
        <v>13777500</v>
      </c>
      <c r="AD89" s="143">
        <f t="shared" si="72"/>
        <v>0</v>
      </c>
      <c r="AF89" s="46">
        <f t="shared" si="73"/>
        <v>0</v>
      </c>
      <c r="AG89" s="46"/>
    </row>
    <row r="90" spans="1:33" ht="13.5" customHeight="1">
      <c r="A90" s="65"/>
      <c r="B90" s="106">
        <v>75095</v>
      </c>
      <c r="C90" s="83" t="s">
        <v>29</v>
      </c>
      <c r="D90" s="165">
        <v>2732899</v>
      </c>
      <c r="E90" s="138">
        <v>2732899</v>
      </c>
      <c r="F90" s="178">
        <v>0</v>
      </c>
      <c r="G90" s="165">
        <f t="shared" si="74"/>
        <v>118568</v>
      </c>
      <c r="H90" s="138">
        <f>SUM(H91:H94)</f>
        <v>118568</v>
      </c>
      <c r="I90" s="178">
        <f>SUM(I91:I94)</f>
        <v>0</v>
      </c>
      <c r="J90" s="165">
        <f t="shared" si="75"/>
        <v>2851467</v>
      </c>
      <c r="K90" s="138">
        <f t="shared" si="65"/>
        <v>2851467</v>
      </c>
      <c r="L90" s="178">
        <f t="shared" si="66"/>
        <v>0</v>
      </c>
      <c r="M90" s="165">
        <f t="shared" si="76"/>
        <v>0</v>
      </c>
      <c r="N90" s="138">
        <f>SUM(N91:N94)</f>
        <v>0</v>
      </c>
      <c r="O90" s="178">
        <f>SUM(O91:O94)</f>
        <v>0</v>
      </c>
      <c r="P90" s="165">
        <f t="shared" si="77"/>
        <v>2851467</v>
      </c>
      <c r="Q90" s="138">
        <f t="shared" si="67"/>
        <v>2851467</v>
      </c>
      <c r="R90" s="178">
        <f t="shared" si="68"/>
        <v>0</v>
      </c>
      <c r="S90" s="165">
        <f t="shared" si="78"/>
        <v>2127</v>
      </c>
      <c r="T90" s="138">
        <f>SUM(T91:T94)</f>
        <v>2127</v>
      </c>
      <c r="U90" s="178">
        <f>SUM(U91:U94)</f>
        <v>0</v>
      </c>
      <c r="V90" s="165">
        <f t="shared" si="79"/>
        <v>2853594</v>
      </c>
      <c r="W90" s="138">
        <f t="shared" si="69"/>
        <v>2853594</v>
      </c>
      <c r="X90" s="178">
        <f t="shared" si="70"/>
        <v>0</v>
      </c>
      <c r="Y90" s="165">
        <f t="shared" si="80"/>
        <v>0</v>
      </c>
      <c r="Z90" s="138">
        <f>SUM(Z91:Z94)</f>
        <v>0</v>
      </c>
      <c r="AA90" s="178">
        <f>SUM(AA91:AA94)</f>
        <v>0</v>
      </c>
      <c r="AB90" s="165">
        <f t="shared" si="81"/>
        <v>2853594</v>
      </c>
      <c r="AC90" s="138">
        <f t="shared" si="71"/>
        <v>2853594</v>
      </c>
      <c r="AD90" s="178">
        <f t="shared" si="72"/>
        <v>0</v>
      </c>
      <c r="AF90" s="46">
        <f t="shared" si="73"/>
        <v>0</v>
      </c>
      <c r="AG90" s="46"/>
    </row>
    <row r="91" spans="1:33" ht="13.5" customHeight="1">
      <c r="A91" s="65"/>
      <c r="B91" s="179"/>
      <c r="C91" s="180" t="s">
        <v>69</v>
      </c>
      <c r="D91" s="181">
        <v>730036</v>
      </c>
      <c r="E91" s="182">
        <v>730036</v>
      </c>
      <c r="F91" s="183">
        <v>0</v>
      </c>
      <c r="G91" s="181">
        <f t="shared" si="74"/>
        <v>118568</v>
      </c>
      <c r="H91" s="182">
        <v>118568</v>
      </c>
      <c r="I91" s="183">
        <v>0</v>
      </c>
      <c r="J91" s="181">
        <f t="shared" si="75"/>
        <v>848604</v>
      </c>
      <c r="K91" s="182">
        <f t="shared" si="65"/>
        <v>848604</v>
      </c>
      <c r="L91" s="183">
        <f t="shared" si="66"/>
        <v>0</v>
      </c>
      <c r="M91" s="181">
        <f t="shared" si="76"/>
        <v>0</v>
      </c>
      <c r="N91" s="182">
        <v>0</v>
      </c>
      <c r="O91" s="183">
        <v>0</v>
      </c>
      <c r="P91" s="181">
        <f t="shared" si="77"/>
        <v>848604</v>
      </c>
      <c r="Q91" s="182">
        <f t="shared" si="67"/>
        <v>848604</v>
      </c>
      <c r="R91" s="183">
        <f t="shared" si="68"/>
        <v>0</v>
      </c>
      <c r="S91" s="181">
        <f t="shared" si="78"/>
        <v>0</v>
      </c>
      <c r="T91" s="182">
        <v>0</v>
      </c>
      <c r="U91" s="183">
        <v>0</v>
      </c>
      <c r="V91" s="181">
        <f t="shared" si="79"/>
        <v>848604</v>
      </c>
      <c r="W91" s="182">
        <f t="shared" si="69"/>
        <v>848604</v>
      </c>
      <c r="X91" s="183">
        <f t="shared" si="70"/>
        <v>0</v>
      </c>
      <c r="Y91" s="181">
        <f t="shared" si="80"/>
        <v>0</v>
      </c>
      <c r="Z91" s="182"/>
      <c r="AA91" s="183"/>
      <c r="AB91" s="181">
        <f t="shared" si="81"/>
        <v>848604</v>
      </c>
      <c r="AC91" s="182">
        <f t="shared" si="71"/>
        <v>848604</v>
      </c>
      <c r="AD91" s="183">
        <f t="shared" si="72"/>
        <v>0</v>
      </c>
      <c r="AF91" s="46">
        <f t="shared" si="73"/>
        <v>0</v>
      </c>
      <c r="AG91" s="46"/>
    </row>
    <row r="92" spans="1:33" ht="12.75">
      <c r="A92" s="65"/>
      <c r="B92" s="184"/>
      <c r="C92" s="185" t="s">
        <v>70</v>
      </c>
      <c r="D92" s="91">
        <v>440000</v>
      </c>
      <c r="E92" s="118">
        <v>440000</v>
      </c>
      <c r="F92" s="119">
        <v>0</v>
      </c>
      <c r="G92" s="91">
        <f t="shared" si="74"/>
        <v>0</v>
      </c>
      <c r="H92" s="118"/>
      <c r="I92" s="119">
        <v>0</v>
      </c>
      <c r="J92" s="91">
        <f t="shared" si="75"/>
        <v>440000</v>
      </c>
      <c r="K92" s="118">
        <f t="shared" si="65"/>
        <v>440000</v>
      </c>
      <c r="L92" s="119">
        <f t="shared" si="66"/>
        <v>0</v>
      </c>
      <c r="M92" s="91">
        <f t="shared" si="76"/>
        <v>0</v>
      </c>
      <c r="N92" s="118"/>
      <c r="O92" s="119">
        <v>0</v>
      </c>
      <c r="P92" s="91">
        <f t="shared" si="77"/>
        <v>440000</v>
      </c>
      <c r="Q92" s="118">
        <f t="shared" si="67"/>
        <v>440000</v>
      </c>
      <c r="R92" s="119">
        <f t="shared" si="68"/>
        <v>0</v>
      </c>
      <c r="S92" s="91">
        <f t="shared" si="78"/>
        <v>0</v>
      </c>
      <c r="T92" s="118"/>
      <c r="U92" s="119">
        <v>0</v>
      </c>
      <c r="V92" s="91">
        <f t="shared" si="79"/>
        <v>440000</v>
      </c>
      <c r="W92" s="118">
        <f t="shared" si="69"/>
        <v>440000</v>
      </c>
      <c r="X92" s="119">
        <f t="shared" si="70"/>
        <v>0</v>
      </c>
      <c r="Y92" s="91">
        <f t="shared" si="80"/>
        <v>0</v>
      </c>
      <c r="Z92" s="118"/>
      <c r="AA92" s="119"/>
      <c r="AB92" s="91">
        <f t="shared" si="81"/>
        <v>440000</v>
      </c>
      <c r="AC92" s="118">
        <f t="shared" si="71"/>
        <v>440000</v>
      </c>
      <c r="AD92" s="119">
        <f t="shared" si="72"/>
        <v>0</v>
      </c>
      <c r="AF92" s="46">
        <f t="shared" si="73"/>
        <v>0</v>
      </c>
      <c r="AG92" s="46"/>
    </row>
    <row r="93" spans="1:33" ht="12.75">
      <c r="A93" s="65"/>
      <c r="B93" s="184"/>
      <c r="C93" s="90" t="s">
        <v>71</v>
      </c>
      <c r="D93" s="91">
        <v>835000</v>
      </c>
      <c r="E93" s="92">
        <v>835000</v>
      </c>
      <c r="F93" s="186">
        <v>0</v>
      </c>
      <c r="G93" s="91">
        <f t="shared" si="74"/>
        <v>0</v>
      </c>
      <c r="H93" s="92"/>
      <c r="I93" s="186">
        <v>0</v>
      </c>
      <c r="J93" s="91">
        <f t="shared" si="75"/>
        <v>835000</v>
      </c>
      <c r="K93" s="92">
        <f t="shared" si="65"/>
        <v>835000</v>
      </c>
      <c r="L93" s="186">
        <f t="shared" si="66"/>
        <v>0</v>
      </c>
      <c r="M93" s="91">
        <f t="shared" si="76"/>
        <v>0</v>
      </c>
      <c r="N93" s="92"/>
      <c r="O93" s="186">
        <v>0</v>
      </c>
      <c r="P93" s="91">
        <f t="shared" si="77"/>
        <v>835000</v>
      </c>
      <c r="Q93" s="92">
        <f t="shared" si="67"/>
        <v>835000</v>
      </c>
      <c r="R93" s="186">
        <f t="shared" si="68"/>
        <v>0</v>
      </c>
      <c r="S93" s="91">
        <f t="shared" si="78"/>
        <v>0</v>
      </c>
      <c r="T93" s="92"/>
      <c r="U93" s="186">
        <v>0</v>
      </c>
      <c r="V93" s="91">
        <f t="shared" si="79"/>
        <v>835000</v>
      </c>
      <c r="W93" s="92">
        <f t="shared" si="69"/>
        <v>835000</v>
      </c>
      <c r="X93" s="186">
        <f t="shared" si="70"/>
        <v>0</v>
      </c>
      <c r="Y93" s="91">
        <f t="shared" si="80"/>
        <v>0</v>
      </c>
      <c r="Z93" s="92"/>
      <c r="AA93" s="186"/>
      <c r="AB93" s="91">
        <f t="shared" si="81"/>
        <v>835000</v>
      </c>
      <c r="AC93" s="92">
        <f t="shared" si="71"/>
        <v>835000</v>
      </c>
      <c r="AD93" s="186">
        <f t="shared" si="72"/>
        <v>0</v>
      </c>
      <c r="AF93" s="46">
        <f t="shared" si="73"/>
        <v>0</v>
      </c>
      <c r="AG93" s="46"/>
    </row>
    <row r="94" spans="1:33" s="100" customFormat="1" ht="12.75">
      <c r="A94" s="94"/>
      <c r="B94" s="187"/>
      <c r="C94" s="96" t="s">
        <v>33</v>
      </c>
      <c r="D94" s="97">
        <v>727863</v>
      </c>
      <c r="E94" s="111">
        <v>727863</v>
      </c>
      <c r="F94" s="127">
        <v>0</v>
      </c>
      <c r="G94" s="97">
        <f t="shared" si="74"/>
        <v>0</v>
      </c>
      <c r="H94" s="111"/>
      <c r="I94" s="127">
        <v>0</v>
      </c>
      <c r="J94" s="97">
        <f t="shared" si="75"/>
        <v>727863</v>
      </c>
      <c r="K94" s="111">
        <f t="shared" si="65"/>
        <v>727863</v>
      </c>
      <c r="L94" s="127">
        <f t="shared" si="66"/>
        <v>0</v>
      </c>
      <c r="M94" s="97">
        <f t="shared" si="76"/>
        <v>0</v>
      </c>
      <c r="N94" s="111"/>
      <c r="O94" s="127">
        <v>0</v>
      </c>
      <c r="P94" s="97">
        <f t="shared" si="77"/>
        <v>727863</v>
      </c>
      <c r="Q94" s="111">
        <f t="shared" si="67"/>
        <v>727863</v>
      </c>
      <c r="R94" s="127">
        <f t="shared" si="68"/>
        <v>0</v>
      </c>
      <c r="S94" s="97">
        <f t="shared" si="78"/>
        <v>2127</v>
      </c>
      <c r="T94" s="111">
        <f>1974+153</f>
        <v>2127</v>
      </c>
      <c r="U94" s="127">
        <v>0</v>
      </c>
      <c r="V94" s="97">
        <f t="shared" si="79"/>
        <v>729990</v>
      </c>
      <c r="W94" s="111">
        <f t="shared" si="69"/>
        <v>729990</v>
      </c>
      <c r="X94" s="127">
        <f t="shared" si="70"/>
        <v>0</v>
      </c>
      <c r="Y94" s="97">
        <f t="shared" si="80"/>
        <v>0</v>
      </c>
      <c r="Z94" s="111"/>
      <c r="AA94" s="127"/>
      <c r="AB94" s="97">
        <f t="shared" si="81"/>
        <v>729990</v>
      </c>
      <c r="AC94" s="111">
        <f t="shared" si="71"/>
        <v>729990</v>
      </c>
      <c r="AD94" s="127">
        <f t="shared" si="72"/>
        <v>0</v>
      </c>
      <c r="AF94" s="46">
        <f t="shared" si="73"/>
        <v>0</v>
      </c>
      <c r="AG94" s="46"/>
    </row>
    <row r="95" spans="1:33" ht="22.5" hidden="1">
      <c r="A95" s="65"/>
      <c r="B95" s="101">
        <v>751</v>
      </c>
      <c r="C95" s="188" t="s">
        <v>72</v>
      </c>
      <c r="D95" s="103">
        <v>0</v>
      </c>
      <c r="E95" s="104">
        <v>0</v>
      </c>
      <c r="F95" s="105">
        <v>0</v>
      </c>
      <c r="G95" s="103">
        <f t="shared" si="74"/>
        <v>0</v>
      </c>
      <c r="H95" s="104">
        <f>H96</f>
        <v>0</v>
      </c>
      <c r="I95" s="105">
        <f>I96</f>
        <v>0</v>
      </c>
      <c r="J95" s="103">
        <f t="shared" si="75"/>
        <v>0</v>
      </c>
      <c r="K95" s="104">
        <f>K96</f>
        <v>0</v>
      </c>
      <c r="L95" s="105">
        <f>L96</f>
        <v>0</v>
      </c>
      <c r="M95" s="103">
        <f t="shared" si="76"/>
        <v>0</v>
      </c>
      <c r="N95" s="104">
        <f>N96</f>
        <v>0</v>
      </c>
      <c r="O95" s="105">
        <f>O96</f>
        <v>0</v>
      </c>
      <c r="P95" s="103">
        <f t="shared" si="77"/>
        <v>0</v>
      </c>
      <c r="Q95" s="104">
        <f>Q96</f>
        <v>0</v>
      </c>
      <c r="R95" s="105">
        <f>R96</f>
        <v>0</v>
      </c>
      <c r="S95" s="103">
        <f t="shared" si="78"/>
        <v>0</v>
      </c>
      <c r="T95" s="104">
        <f>T96</f>
        <v>0</v>
      </c>
      <c r="U95" s="105">
        <f>U96</f>
        <v>0</v>
      </c>
      <c r="V95" s="103">
        <f t="shared" si="79"/>
        <v>0</v>
      </c>
      <c r="W95" s="104">
        <f>W96</f>
        <v>0</v>
      </c>
      <c r="X95" s="105">
        <f>X96</f>
        <v>0</v>
      </c>
      <c r="Y95" s="103">
        <f t="shared" si="80"/>
        <v>0</v>
      </c>
      <c r="Z95" s="104">
        <f>Z96</f>
        <v>0</v>
      </c>
      <c r="AA95" s="105">
        <f>AA96</f>
        <v>0</v>
      </c>
      <c r="AB95" s="103">
        <f t="shared" si="81"/>
        <v>0</v>
      </c>
      <c r="AC95" s="104">
        <f>AC96</f>
        <v>0</v>
      </c>
      <c r="AD95" s="105">
        <f>AD96</f>
        <v>0</v>
      </c>
      <c r="AF95" s="46">
        <f t="shared" si="73"/>
        <v>0</v>
      </c>
      <c r="AG95" s="46"/>
    </row>
    <row r="96" spans="1:33" ht="23.25" customHeight="1" hidden="1">
      <c r="A96" s="65"/>
      <c r="B96" s="106">
        <v>75108</v>
      </c>
      <c r="C96" s="189" t="s">
        <v>73</v>
      </c>
      <c r="D96" s="80">
        <v>0</v>
      </c>
      <c r="E96" s="142"/>
      <c r="F96" s="143"/>
      <c r="G96" s="80">
        <f t="shared" si="74"/>
        <v>0</v>
      </c>
      <c r="H96" s="142"/>
      <c r="I96" s="143"/>
      <c r="J96" s="80">
        <f t="shared" si="75"/>
        <v>0</v>
      </c>
      <c r="K96" s="142"/>
      <c r="L96" s="143"/>
      <c r="M96" s="80">
        <f t="shared" si="76"/>
        <v>0</v>
      </c>
      <c r="N96" s="142"/>
      <c r="O96" s="143"/>
      <c r="P96" s="80">
        <f t="shared" si="77"/>
        <v>0</v>
      </c>
      <c r="Q96" s="142"/>
      <c r="R96" s="143"/>
      <c r="S96" s="80">
        <f t="shared" si="78"/>
        <v>0</v>
      </c>
      <c r="T96" s="142"/>
      <c r="U96" s="143"/>
      <c r="V96" s="80">
        <f t="shared" si="79"/>
        <v>0</v>
      </c>
      <c r="W96" s="142"/>
      <c r="X96" s="143"/>
      <c r="Y96" s="80">
        <f t="shared" si="80"/>
        <v>0</v>
      </c>
      <c r="Z96" s="142"/>
      <c r="AA96" s="143"/>
      <c r="AB96" s="80">
        <f t="shared" si="81"/>
        <v>0</v>
      </c>
      <c r="AC96" s="142"/>
      <c r="AD96" s="143"/>
      <c r="AF96" s="46">
        <f t="shared" si="73"/>
        <v>0</v>
      </c>
      <c r="AG96" s="46"/>
    </row>
    <row r="97" spans="1:33" ht="12.75" hidden="1">
      <c r="A97" s="65"/>
      <c r="B97" s="106"/>
      <c r="C97" s="189" t="s">
        <v>31</v>
      </c>
      <c r="D97" s="80">
        <v>0</v>
      </c>
      <c r="E97" s="81"/>
      <c r="F97" s="190"/>
      <c r="G97" s="80">
        <f t="shared" si="74"/>
        <v>0</v>
      </c>
      <c r="H97" s="81"/>
      <c r="I97" s="190"/>
      <c r="J97" s="80">
        <f t="shared" si="75"/>
        <v>0</v>
      </c>
      <c r="K97" s="81"/>
      <c r="L97" s="190"/>
      <c r="M97" s="80">
        <f t="shared" si="76"/>
        <v>0</v>
      </c>
      <c r="N97" s="81"/>
      <c r="O97" s="190"/>
      <c r="P97" s="80">
        <f t="shared" si="77"/>
        <v>0</v>
      </c>
      <c r="Q97" s="81"/>
      <c r="R97" s="190"/>
      <c r="S97" s="80">
        <f t="shared" si="78"/>
        <v>0</v>
      </c>
      <c r="T97" s="81"/>
      <c r="U97" s="190"/>
      <c r="V97" s="80">
        <f t="shared" si="79"/>
        <v>0</v>
      </c>
      <c r="W97" s="81"/>
      <c r="X97" s="190"/>
      <c r="Y97" s="80">
        <f t="shared" si="80"/>
        <v>0</v>
      </c>
      <c r="Z97" s="81"/>
      <c r="AA97" s="190"/>
      <c r="AB97" s="80">
        <f t="shared" si="81"/>
        <v>0</v>
      </c>
      <c r="AC97" s="81"/>
      <c r="AD97" s="190"/>
      <c r="AF97" s="46">
        <f t="shared" si="73"/>
        <v>0</v>
      </c>
      <c r="AG97" s="46"/>
    </row>
    <row r="98" spans="1:33" ht="12.75">
      <c r="A98" s="65"/>
      <c r="B98" s="101">
        <v>752</v>
      </c>
      <c r="C98" s="149" t="s">
        <v>74</v>
      </c>
      <c r="D98" s="103">
        <v>43000</v>
      </c>
      <c r="E98" s="104">
        <v>43000</v>
      </c>
      <c r="F98" s="105">
        <v>0</v>
      </c>
      <c r="G98" s="103">
        <f t="shared" si="74"/>
        <v>0</v>
      </c>
      <c r="H98" s="104">
        <f>H99</f>
        <v>0</v>
      </c>
      <c r="I98" s="105">
        <f>I99</f>
        <v>0</v>
      </c>
      <c r="J98" s="103">
        <f t="shared" si="75"/>
        <v>43000</v>
      </c>
      <c r="K98" s="104">
        <f>K99</f>
        <v>43000</v>
      </c>
      <c r="L98" s="105">
        <f>L99</f>
        <v>0</v>
      </c>
      <c r="M98" s="103">
        <f t="shared" si="76"/>
        <v>0</v>
      </c>
      <c r="N98" s="104">
        <f>N99</f>
        <v>0</v>
      </c>
      <c r="O98" s="105">
        <f>O99</f>
        <v>0</v>
      </c>
      <c r="P98" s="103">
        <f t="shared" si="77"/>
        <v>43000</v>
      </c>
      <c r="Q98" s="104">
        <f>Q99</f>
        <v>43000</v>
      </c>
      <c r="R98" s="105">
        <f>R99</f>
        <v>0</v>
      </c>
      <c r="S98" s="103">
        <f t="shared" si="78"/>
        <v>0</v>
      </c>
      <c r="T98" s="104">
        <f>T99</f>
        <v>0</v>
      </c>
      <c r="U98" s="105">
        <f>U99</f>
        <v>0</v>
      </c>
      <c r="V98" s="103">
        <f t="shared" si="79"/>
        <v>43000</v>
      </c>
      <c r="W98" s="104">
        <f>W99</f>
        <v>43000</v>
      </c>
      <c r="X98" s="105">
        <f>X99</f>
        <v>0</v>
      </c>
      <c r="Y98" s="103">
        <f t="shared" si="80"/>
        <v>0</v>
      </c>
      <c r="Z98" s="104">
        <f>Z99</f>
        <v>0</v>
      </c>
      <c r="AA98" s="105">
        <f>AA99</f>
        <v>0</v>
      </c>
      <c r="AB98" s="103">
        <f t="shared" si="81"/>
        <v>43000</v>
      </c>
      <c r="AC98" s="104">
        <f>AC99</f>
        <v>43000</v>
      </c>
      <c r="AD98" s="105">
        <f>AD99</f>
        <v>0</v>
      </c>
      <c r="AF98" s="46">
        <f t="shared" si="73"/>
        <v>0</v>
      </c>
      <c r="AG98" s="46"/>
    </row>
    <row r="99" spans="1:33" ht="12.75">
      <c r="A99" s="65"/>
      <c r="B99" s="106">
        <v>75201</v>
      </c>
      <c r="C99" s="83" t="s">
        <v>75</v>
      </c>
      <c r="D99" s="80">
        <v>43000</v>
      </c>
      <c r="E99" s="81">
        <v>43000</v>
      </c>
      <c r="F99" s="190">
        <v>0</v>
      </c>
      <c r="G99" s="80">
        <f t="shared" si="74"/>
        <v>0</v>
      </c>
      <c r="H99" s="81"/>
      <c r="I99" s="190">
        <v>0</v>
      </c>
      <c r="J99" s="80">
        <f t="shared" si="75"/>
        <v>43000</v>
      </c>
      <c r="K99" s="81">
        <f>E99+H99</f>
        <v>43000</v>
      </c>
      <c r="L99" s="190">
        <f>I99+F99</f>
        <v>0</v>
      </c>
      <c r="M99" s="80">
        <f t="shared" si="76"/>
        <v>0</v>
      </c>
      <c r="N99" s="81"/>
      <c r="O99" s="190">
        <v>0</v>
      </c>
      <c r="P99" s="80">
        <f t="shared" si="77"/>
        <v>43000</v>
      </c>
      <c r="Q99" s="81">
        <f>K99+N99</f>
        <v>43000</v>
      </c>
      <c r="R99" s="190">
        <f>O99+L99</f>
        <v>0</v>
      </c>
      <c r="S99" s="80">
        <f t="shared" si="78"/>
        <v>0</v>
      </c>
      <c r="T99" s="81"/>
      <c r="U99" s="190">
        <v>0</v>
      </c>
      <c r="V99" s="80">
        <f t="shared" si="79"/>
        <v>43000</v>
      </c>
      <c r="W99" s="81">
        <f>Q99+T99</f>
        <v>43000</v>
      </c>
      <c r="X99" s="190">
        <f>U99+R99</f>
        <v>0</v>
      </c>
      <c r="Y99" s="80">
        <f t="shared" si="80"/>
        <v>0</v>
      </c>
      <c r="Z99" s="81"/>
      <c r="AA99" s="190"/>
      <c r="AB99" s="80">
        <f t="shared" si="81"/>
        <v>43000</v>
      </c>
      <c r="AC99" s="81">
        <f>W99+Z99</f>
        <v>43000</v>
      </c>
      <c r="AD99" s="190">
        <f>AA99+X99</f>
        <v>0</v>
      </c>
      <c r="AF99" s="46">
        <f t="shared" si="73"/>
        <v>0</v>
      </c>
      <c r="AG99" s="46"/>
    </row>
    <row r="100" spans="1:33" ht="12.75">
      <c r="A100" s="65"/>
      <c r="B100" s="101">
        <v>754</v>
      </c>
      <c r="C100" s="107" t="s">
        <v>76</v>
      </c>
      <c r="D100" s="103">
        <v>18361303</v>
      </c>
      <c r="E100" s="104">
        <v>17513803</v>
      </c>
      <c r="F100" s="171">
        <v>847500</v>
      </c>
      <c r="G100" s="103">
        <f t="shared" si="74"/>
        <v>-144900</v>
      </c>
      <c r="H100" s="104">
        <f>H101+H104+H105+H103</f>
        <v>-199900</v>
      </c>
      <c r="I100" s="171">
        <f>I101+I104+I105+I103</f>
        <v>55000</v>
      </c>
      <c r="J100" s="103">
        <f t="shared" si="75"/>
        <v>18216403</v>
      </c>
      <c r="K100" s="104">
        <f>K101+K104+K105+K103</f>
        <v>17313903</v>
      </c>
      <c r="L100" s="171">
        <f>L101+L104+L105+L103</f>
        <v>902500</v>
      </c>
      <c r="M100" s="103">
        <f t="shared" si="76"/>
        <v>0</v>
      </c>
      <c r="N100" s="104">
        <f>N101+N104+N105+N103</f>
        <v>0</v>
      </c>
      <c r="O100" s="171">
        <f>O101+O104+O105+O103</f>
        <v>0</v>
      </c>
      <c r="P100" s="103">
        <f t="shared" si="77"/>
        <v>18216403</v>
      </c>
      <c r="Q100" s="104">
        <f>Q101+Q104+Q105+Q103</f>
        <v>17313903</v>
      </c>
      <c r="R100" s="171">
        <f>R101+R104+R105+R103</f>
        <v>902500</v>
      </c>
      <c r="S100" s="103">
        <f t="shared" si="78"/>
        <v>40790</v>
      </c>
      <c r="T100" s="104">
        <f>T101+T104+T105+T103</f>
        <v>25790</v>
      </c>
      <c r="U100" s="171">
        <f>U101+U104+U105+U103</f>
        <v>15000</v>
      </c>
      <c r="V100" s="103">
        <f t="shared" si="79"/>
        <v>18257193</v>
      </c>
      <c r="W100" s="104">
        <f>W101+W104+W105+W103</f>
        <v>17339693</v>
      </c>
      <c r="X100" s="171">
        <f>X101+X104+X105+X103</f>
        <v>917500</v>
      </c>
      <c r="Y100" s="103">
        <f t="shared" si="80"/>
        <v>442000</v>
      </c>
      <c r="Z100" s="104">
        <f>Z101+Z104+Z105+Z103</f>
        <v>442000</v>
      </c>
      <c r="AA100" s="171">
        <f>AA101+AA104+AA105+AA103</f>
        <v>0</v>
      </c>
      <c r="AB100" s="103">
        <f t="shared" si="81"/>
        <v>18699193</v>
      </c>
      <c r="AC100" s="104">
        <f>AC101+AC104+AC105+AC103</f>
        <v>17781693</v>
      </c>
      <c r="AD100" s="171">
        <f>AD101+AD104+AD105+AD103</f>
        <v>917500</v>
      </c>
      <c r="AF100" s="46">
        <f t="shared" si="73"/>
        <v>0</v>
      </c>
      <c r="AG100" s="46"/>
    </row>
    <row r="101" spans="1:33" ht="12.75">
      <c r="A101" s="65"/>
      <c r="B101" s="106">
        <v>75412</v>
      </c>
      <c r="C101" s="83" t="s">
        <v>77</v>
      </c>
      <c r="D101" s="80">
        <v>126000</v>
      </c>
      <c r="E101" s="81">
        <v>126000</v>
      </c>
      <c r="F101" s="190">
        <v>0</v>
      </c>
      <c r="G101" s="80">
        <f t="shared" si="74"/>
        <v>0</v>
      </c>
      <c r="H101" s="81"/>
      <c r="I101" s="190">
        <v>0</v>
      </c>
      <c r="J101" s="80">
        <f t="shared" si="75"/>
        <v>126000</v>
      </c>
      <c r="K101" s="81">
        <f aca="true" t="shared" si="82" ref="K101:K108">E101+H101</f>
        <v>126000</v>
      </c>
      <c r="L101" s="190">
        <f aca="true" t="shared" si="83" ref="L101:L108">I101+F101</f>
        <v>0</v>
      </c>
      <c r="M101" s="80">
        <f t="shared" si="76"/>
        <v>0</v>
      </c>
      <c r="N101" s="81"/>
      <c r="O101" s="190">
        <v>0</v>
      </c>
      <c r="P101" s="80">
        <f t="shared" si="77"/>
        <v>126000</v>
      </c>
      <c r="Q101" s="81">
        <f aca="true" t="shared" si="84" ref="Q101:Q108">K101+N101</f>
        <v>126000</v>
      </c>
      <c r="R101" s="190">
        <f aca="true" t="shared" si="85" ref="R101:R108">O101+L101</f>
        <v>0</v>
      </c>
      <c r="S101" s="80">
        <f t="shared" si="78"/>
        <v>0</v>
      </c>
      <c r="T101" s="81"/>
      <c r="U101" s="190">
        <v>0</v>
      </c>
      <c r="V101" s="80">
        <f t="shared" si="79"/>
        <v>126000</v>
      </c>
      <c r="W101" s="81">
        <f aca="true" t="shared" si="86" ref="W101:W108">Q101+T101</f>
        <v>126000</v>
      </c>
      <c r="X101" s="190">
        <f aca="true" t="shared" si="87" ref="X101:X108">U101+R101</f>
        <v>0</v>
      </c>
      <c r="Y101" s="80">
        <f t="shared" si="80"/>
        <v>0</v>
      </c>
      <c r="Z101" s="81"/>
      <c r="AA101" s="190"/>
      <c r="AB101" s="80">
        <f t="shared" si="81"/>
        <v>126000</v>
      </c>
      <c r="AC101" s="81">
        <f aca="true" t="shared" si="88" ref="AC101:AC108">W101+Z101</f>
        <v>126000</v>
      </c>
      <c r="AD101" s="190">
        <f aca="true" t="shared" si="89" ref="AD101:AD108">AA101+X101</f>
        <v>0</v>
      </c>
      <c r="AF101" s="46">
        <f t="shared" si="73"/>
        <v>0</v>
      </c>
      <c r="AG101" s="46"/>
    </row>
    <row r="102" spans="1:33" ht="12.75" hidden="1">
      <c r="A102" s="65"/>
      <c r="B102" s="106"/>
      <c r="C102" s="110" t="s">
        <v>39</v>
      </c>
      <c r="D102" s="191">
        <v>0</v>
      </c>
      <c r="E102" s="192">
        <v>0</v>
      </c>
      <c r="F102" s="193">
        <v>0</v>
      </c>
      <c r="G102" s="191">
        <f t="shared" si="74"/>
        <v>0</v>
      </c>
      <c r="H102" s="192"/>
      <c r="I102" s="193"/>
      <c r="J102" s="191">
        <f t="shared" si="75"/>
        <v>0</v>
      </c>
      <c r="K102" s="192">
        <f t="shared" si="82"/>
        <v>0</v>
      </c>
      <c r="L102" s="193">
        <f t="shared" si="83"/>
        <v>0</v>
      </c>
      <c r="M102" s="191">
        <f t="shared" si="76"/>
        <v>0</v>
      </c>
      <c r="N102" s="192"/>
      <c r="O102" s="193"/>
      <c r="P102" s="191">
        <f t="shared" si="77"/>
        <v>0</v>
      </c>
      <c r="Q102" s="192">
        <f t="shared" si="84"/>
        <v>0</v>
      </c>
      <c r="R102" s="193">
        <f t="shared" si="85"/>
        <v>0</v>
      </c>
      <c r="S102" s="191">
        <f t="shared" si="78"/>
        <v>0</v>
      </c>
      <c r="T102" s="192"/>
      <c r="U102" s="193"/>
      <c r="V102" s="191">
        <f t="shared" si="79"/>
        <v>0</v>
      </c>
      <c r="W102" s="192">
        <f t="shared" si="86"/>
        <v>0</v>
      </c>
      <c r="X102" s="193">
        <f t="shared" si="87"/>
        <v>0</v>
      </c>
      <c r="Y102" s="191">
        <f t="shared" si="80"/>
        <v>0</v>
      </c>
      <c r="Z102" s="192"/>
      <c r="AA102" s="193"/>
      <c r="AB102" s="191">
        <f t="shared" si="81"/>
        <v>0</v>
      </c>
      <c r="AC102" s="192">
        <f t="shared" si="88"/>
        <v>0</v>
      </c>
      <c r="AD102" s="193">
        <f t="shared" si="89"/>
        <v>0</v>
      </c>
      <c r="AF102" s="46">
        <f t="shared" si="73"/>
        <v>0</v>
      </c>
      <c r="AG102" s="46"/>
    </row>
    <row r="103" spans="1:33" ht="12.75">
      <c r="A103" s="65"/>
      <c r="B103" s="106">
        <v>75414</v>
      </c>
      <c r="C103" s="83" t="s">
        <v>78</v>
      </c>
      <c r="D103" s="112">
        <v>15500</v>
      </c>
      <c r="E103" s="113">
        <v>15500</v>
      </c>
      <c r="F103" s="128">
        <v>0</v>
      </c>
      <c r="G103" s="112">
        <f t="shared" si="74"/>
        <v>0</v>
      </c>
      <c r="H103" s="113"/>
      <c r="I103" s="128">
        <v>0</v>
      </c>
      <c r="J103" s="112">
        <f t="shared" si="75"/>
        <v>15500</v>
      </c>
      <c r="K103" s="113">
        <f t="shared" si="82"/>
        <v>15500</v>
      </c>
      <c r="L103" s="128">
        <f t="shared" si="83"/>
        <v>0</v>
      </c>
      <c r="M103" s="112">
        <f t="shared" si="76"/>
        <v>0</v>
      </c>
      <c r="N103" s="113"/>
      <c r="O103" s="128">
        <v>0</v>
      </c>
      <c r="P103" s="112">
        <f t="shared" si="77"/>
        <v>15500</v>
      </c>
      <c r="Q103" s="113">
        <f t="shared" si="84"/>
        <v>15500</v>
      </c>
      <c r="R103" s="128">
        <f t="shared" si="85"/>
        <v>0</v>
      </c>
      <c r="S103" s="112">
        <f t="shared" si="78"/>
        <v>0</v>
      </c>
      <c r="T103" s="113"/>
      <c r="U103" s="128">
        <v>0</v>
      </c>
      <c r="V103" s="112">
        <f t="shared" si="79"/>
        <v>15500</v>
      </c>
      <c r="W103" s="113">
        <f t="shared" si="86"/>
        <v>15500</v>
      </c>
      <c r="X103" s="128">
        <f t="shared" si="87"/>
        <v>0</v>
      </c>
      <c r="Y103" s="112">
        <f t="shared" si="80"/>
        <v>0</v>
      </c>
      <c r="Z103" s="113"/>
      <c r="AA103" s="128"/>
      <c r="AB103" s="112">
        <f t="shared" si="81"/>
        <v>15500</v>
      </c>
      <c r="AC103" s="113">
        <f t="shared" si="88"/>
        <v>15500</v>
      </c>
      <c r="AD103" s="128">
        <f t="shared" si="89"/>
        <v>0</v>
      </c>
      <c r="AF103" s="46">
        <f t="shared" si="73"/>
        <v>0</v>
      </c>
      <c r="AG103" s="46"/>
    </row>
    <row r="104" spans="1:33" ht="12.75">
      <c r="A104" s="65"/>
      <c r="B104" s="106">
        <v>75416</v>
      </c>
      <c r="C104" s="83" t="s">
        <v>79</v>
      </c>
      <c r="D104" s="80">
        <v>15286240</v>
      </c>
      <c r="E104" s="81">
        <v>14494240</v>
      </c>
      <c r="F104" s="139">
        <v>792000</v>
      </c>
      <c r="G104" s="80">
        <f t="shared" si="74"/>
        <v>26000</v>
      </c>
      <c r="H104" s="81">
        <v>26000</v>
      </c>
      <c r="I104" s="139"/>
      <c r="J104" s="80">
        <f t="shared" si="75"/>
        <v>15312240</v>
      </c>
      <c r="K104" s="81">
        <f t="shared" si="82"/>
        <v>14520240</v>
      </c>
      <c r="L104" s="139">
        <f t="shared" si="83"/>
        <v>792000</v>
      </c>
      <c r="M104" s="80">
        <f t="shared" si="76"/>
        <v>0</v>
      </c>
      <c r="N104" s="81">
        <v>0</v>
      </c>
      <c r="O104" s="139"/>
      <c r="P104" s="80">
        <f t="shared" si="77"/>
        <v>15312240</v>
      </c>
      <c r="Q104" s="81">
        <f t="shared" si="84"/>
        <v>14520240</v>
      </c>
      <c r="R104" s="139">
        <f t="shared" si="85"/>
        <v>792000</v>
      </c>
      <c r="S104" s="80">
        <f t="shared" si="78"/>
        <v>39790</v>
      </c>
      <c r="T104" s="81">
        <f>24400+15000+390</f>
        <v>39790</v>
      </c>
      <c r="U104" s="139"/>
      <c r="V104" s="80">
        <f t="shared" si="79"/>
        <v>15352030</v>
      </c>
      <c r="W104" s="81">
        <f t="shared" si="86"/>
        <v>14560030</v>
      </c>
      <c r="X104" s="139">
        <f t="shared" si="87"/>
        <v>792000</v>
      </c>
      <c r="Y104" s="80">
        <f t="shared" si="80"/>
        <v>442000</v>
      </c>
      <c r="Z104" s="81">
        <v>442000</v>
      </c>
      <c r="AA104" s="139"/>
      <c r="AB104" s="80">
        <f t="shared" si="81"/>
        <v>15794030</v>
      </c>
      <c r="AC104" s="81">
        <f t="shared" si="88"/>
        <v>15002030</v>
      </c>
      <c r="AD104" s="139">
        <f t="shared" si="89"/>
        <v>792000</v>
      </c>
      <c r="AF104" s="46">
        <f t="shared" si="73"/>
        <v>0</v>
      </c>
      <c r="AG104" s="46"/>
    </row>
    <row r="105" spans="1:33" ht="12.75">
      <c r="A105" s="65"/>
      <c r="B105" s="140">
        <v>75495</v>
      </c>
      <c r="C105" s="129" t="s">
        <v>80</v>
      </c>
      <c r="D105" s="112">
        <v>2933563</v>
      </c>
      <c r="E105" s="113">
        <v>2878063</v>
      </c>
      <c r="F105" s="114">
        <v>55500</v>
      </c>
      <c r="G105" s="112">
        <f t="shared" si="74"/>
        <v>-170900</v>
      </c>
      <c r="H105" s="81">
        <f>SUM(H106:H108)</f>
        <v>-225900</v>
      </c>
      <c r="I105" s="82">
        <f>SUM(I106:I108)</f>
        <v>55000</v>
      </c>
      <c r="J105" s="112">
        <f t="shared" si="75"/>
        <v>2762663</v>
      </c>
      <c r="K105" s="113">
        <f t="shared" si="82"/>
        <v>2652163</v>
      </c>
      <c r="L105" s="114">
        <f t="shared" si="83"/>
        <v>110500</v>
      </c>
      <c r="M105" s="112">
        <f t="shared" si="76"/>
        <v>0</v>
      </c>
      <c r="N105" s="81">
        <f>SUM(N106:N108)</f>
        <v>0</v>
      </c>
      <c r="O105" s="82">
        <f>SUM(O106:O108)</f>
        <v>0</v>
      </c>
      <c r="P105" s="112">
        <f t="shared" si="77"/>
        <v>2762663</v>
      </c>
      <c r="Q105" s="113">
        <f t="shared" si="84"/>
        <v>2652163</v>
      </c>
      <c r="R105" s="114">
        <f t="shared" si="85"/>
        <v>110500</v>
      </c>
      <c r="S105" s="112">
        <f t="shared" si="78"/>
        <v>1000</v>
      </c>
      <c r="T105" s="81">
        <f>SUM(T106:T108)</f>
        <v>-14000</v>
      </c>
      <c r="U105" s="82">
        <f>SUM(U106:U108)</f>
        <v>15000</v>
      </c>
      <c r="V105" s="112">
        <f t="shared" si="79"/>
        <v>2763663</v>
      </c>
      <c r="W105" s="113">
        <f t="shared" si="86"/>
        <v>2638163</v>
      </c>
      <c r="X105" s="114">
        <f t="shared" si="87"/>
        <v>125500</v>
      </c>
      <c r="Y105" s="112">
        <f t="shared" si="80"/>
        <v>0</v>
      </c>
      <c r="Z105" s="81">
        <f>SUM(Z106:Z108)</f>
        <v>0</v>
      </c>
      <c r="AA105" s="82">
        <f>SUM(AA106:AA108)</f>
        <v>0</v>
      </c>
      <c r="AB105" s="112">
        <f t="shared" si="81"/>
        <v>2763663</v>
      </c>
      <c r="AC105" s="113">
        <f t="shared" si="88"/>
        <v>2638163</v>
      </c>
      <c r="AD105" s="114">
        <f t="shared" si="89"/>
        <v>125500</v>
      </c>
      <c r="AF105" s="46">
        <f t="shared" si="73"/>
        <v>0</v>
      </c>
      <c r="AG105" s="46"/>
    </row>
    <row r="106" spans="1:33" s="200" customFormat="1" ht="12.75">
      <c r="A106" s="194"/>
      <c r="B106" s="195"/>
      <c r="C106" s="196" t="s">
        <v>81</v>
      </c>
      <c r="D106" s="197">
        <v>363500</v>
      </c>
      <c r="E106" s="198">
        <v>308000</v>
      </c>
      <c r="F106" s="199">
        <v>55500</v>
      </c>
      <c r="G106" s="197">
        <f t="shared" si="74"/>
        <v>-170900</v>
      </c>
      <c r="H106" s="198">
        <v>-225900</v>
      </c>
      <c r="I106" s="199">
        <f>64000-9000</f>
        <v>55000</v>
      </c>
      <c r="J106" s="197">
        <f t="shared" si="75"/>
        <v>192600</v>
      </c>
      <c r="K106" s="198">
        <f t="shared" si="82"/>
        <v>82100</v>
      </c>
      <c r="L106" s="199">
        <f t="shared" si="83"/>
        <v>110500</v>
      </c>
      <c r="M106" s="197">
        <f t="shared" si="76"/>
        <v>0</v>
      </c>
      <c r="N106" s="198">
        <v>0</v>
      </c>
      <c r="O106" s="199">
        <v>0</v>
      </c>
      <c r="P106" s="197">
        <f t="shared" si="77"/>
        <v>192600</v>
      </c>
      <c r="Q106" s="198">
        <f t="shared" si="84"/>
        <v>82100</v>
      </c>
      <c r="R106" s="199">
        <f t="shared" si="85"/>
        <v>110500</v>
      </c>
      <c r="S106" s="197">
        <f t="shared" si="78"/>
        <v>8000</v>
      </c>
      <c r="T106" s="198">
        <f>-7000-3000+3000</f>
        <v>-7000</v>
      </c>
      <c r="U106" s="199">
        <f>18000-3000</f>
        <v>15000</v>
      </c>
      <c r="V106" s="197">
        <f t="shared" si="79"/>
        <v>200600</v>
      </c>
      <c r="W106" s="198">
        <f t="shared" si="86"/>
        <v>75100</v>
      </c>
      <c r="X106" s="199">
        <f t="shared" si="87"/>
        <v>125500</v>
      </c>
      <c r="Y106" s="197">
        <f t="shared" si="80"/>
        <v>0</v>
      </c>
      <c r="Z106" s="198"/>
      <c r="AA106" s="199"/>
      <c r="AB106" s="197">
        <f t="shared" si="81"/>
        <v>200600</v>
      </c>
      <c r="AC106" s="198">
        <f t="shared" si="88"/>
        <v>75100</v>
      </c>
      <c r="AD106" s="199">
        <f t="shared" si="89"/>
        <v>125500</v>
      </c>
      <c r="AF106" s="46">
        <f t="shared" si="73"/>
        <v>0</v>
      </c>
      <c r="AG106" s="201"/>
    </row>
    <row r="107" spans="1:33" ht="12.75">
      <c r="A107" s="65"/>
      <c r="B107" s="108"/>
      <c r="C107" s="90" t="s">
        <v>82</v>
      </c>
      <c r="D107" s="91">
        <v>25500</v>
      </c>
      <c r="E107" s="92">
        <v>25500</v>
      </c>
      <c r="F107" s="93">
        <v>0</v>
      </c>
      <c r="G107" s="91">
        <f t="shared" si="74"/>
        <v>0</v>
      </c>
      <c r="H107" s="92"/>
      <c r="I107" s="93"/>
      <c r="J107" s="91">
        <f t="shared" si="75"/>
        <v>25500</v>
      </c>
      <c r="K107" s="92">
        <f t="shared" si="82"/>
        <v>25500</v>
      </c>
      <c r="L107" s="93">
        <f t="shared" si="83"/>
        <v>0</v>
      </c>
      <c r="M107" s="91">
        <f t="shared" si="76"/>
        <v>0</v>
      </c>
      <c r="N107" s="92"/>
      <c r="O107" s="93"/>
      <c r="P107" s="91">
        <f t="shared" si="77"/>
        <v>25500</v>
      </c>
      <c r="Q107" s="92">
        <f t="shared" si="84"/>
        <v>25500</v>
      </c>
      <c r="R107" s="93">
        <f t="shared" si="85"/>
        <v>0</v>
      </c>
      <c r="S107" s="91">
        <f t="shared" si="78"/>
        <v>0</v>
      </c>
      <c r="T107" s="92"/>
      <c r="U107" s="93"/>
      <c r="V107" s="91">
        <f t="shared" si="79"/>
        <v>25500</v>
      </c>
      <c r="W107" s="92">
        <f t="shared" si="86"/>
        <v>25500</v>
      </c>
      <c r="X107" s="93">
        <f t="shared" si="87"/>
        <v>0</v>
      </c>
      <c r="Y107" s="91">
        <f t="shared" si="80"/>
        <v>0</v>
      </c>
      <c r="Z107" s="92"/>
      <c r="AA107" s="93"/>
      <c r="AB107" s="91">
        <f t="shared" si="81"/>
        <v>25500</v>
      </c>
      <c r="AC107" s="92">
        <f t="shared" si="88"/>
        <v>25500</v>
      </c>
      <c r="AD107" s="93">
        <f t="shared" si="89"/>
        <v>0</v>
      </c>
      <c r="AF107" s="46">
        <f t="shared" si="73"/>
        <v>0</v>
      </c>
      <c r="AG107" s="46"/>
    </row>
    <row r="108" spans="1:33" s="100" customFormat="1" ht="13.5" thickBot="1">
      <c r="A108" s="94"/>
      <c r="B108" s="214"/>
      <c r="C108" s="450" t="s">
        <v>33</v>
      </c>
      <c r="D108" s="310">
        <v>23563</v>
      </c>
      <c r="E108" s="311">
        <v>23563</v>
      </c>
      <c r="F108" s="312">
        <v>0</v>
      </c>
      <c r="G108" s="310">
        <f t="shared" si="74"/>
        <v>0</v>
      </c>
      <c r="H108" s="311"/>
      <c r="I108" s="312"/>
      <c r="J108" s="310">
        <f t="shared" si="75"/>
        <v>23563</v>
      </c>
      <c r="K108" s="311">
        <f t="shared" si="82"/>
        <v>23563</v>
      </c>
      <c r="L108" s="312">
        <f t="shared" si="83"/>
        <v>0</v>
      </c>
      <c r="M108" s="310">
        <f t="shared" si="76"/>
        <v>0</v>
      </c>
      <c r="N108" s="311"/>
      <c r="O108" s="312"/>
      <c r="P108" s="310">
        <f t="shared" si="77"/>
        <v>23563</v>
      </c>
      <c r="Q108" s="311">
        <f t="shared" si="84"/>
        <v>23563</v>
      </c>
      <c r="R108" s="312">
        <f t="shared" si="85"/>
        <v>0</v>
      </c>
      <c r="S108" s="310">
        <f t="shared" si="78"/>
        <v>-7000</v>
      </c>
      <c r="T108" s="311">
        <v>-7000</v>
      </c>
      <c r="U108" s="312"/>
      <c r="V108" s="310">
        <f t="shared" si="79"/>
        <v>16563</v>
      </c>
      <c r="W108" s="311">
        <f t="shared" si="86"/>
        <v>16563</v>
      </c>
      <c r="X108" s="312">
        <f t="shared" si="87"/>
        <v>0</v>
      </c>
      <c r="Y108" s="310">
        <f t="shared" si="80"/>
        <v>0</v>
      </c>
      <c r="Z108" s="311"/>
      <c r="AA108" s="312"/>
      <c r="AB108" s="310">
        <f t="shared" si="81"/>
        <v>16563</v>
      </c>
      <c r="AC108" s="311">
        <f t="shared" si="88"/>
        <v>16563</v>
      </c>
      <c r="AD108" s="312">
        <f t="shared" si="89"/>
        <v>0</v>
      </c>
      <c r="AF108" s="46">
        <f t="shared" si="73"/>
        <v>0</v>
      </c>
      <c r="AG108" s="46"/>
    </row>
    <row r="109" spans="1:33" ht="33.75" customHeight="1">
      <c r="A109" s="65"/>
      <c r="B109" s="133">
        <v>756</v>
      </c>
      <c r="C109" s="202" t="s">
        <v>83</v>
      </c>
      <c r="D109" s="75">
        <v>2562614</v>
      </c>
      <c r="E109" s="76">
        <v>2562614</v>
      </c>
      <c r="F109" s="135">
        <v>0</v>
      </c>
      <c r="G109" s="75">
        <f t="shared" si="74"/>
        <v>0</v>
      </c>
      <c r="H109" s="76">
        <f>H110</f>
        <v>0</v>
      </c>
      <c r="I109" s="135">
        <f>I110+I111+I112+I113</f>
        <v>0</v>
      </c>
      <c r="J109" s="75">
        <f t="shared" si="75"/>
        <v>2562614</v>
      </c>
      <c r="K109" s="76">
        <f>K110</f>
        <v>2562614</v>
      </c>
      <c r="L109" s="135">
        <f>L110+L111+L112+L113</f>
        <v>0</v>
      </c>
      <c r="M109" s="75">
        <f t="shared" si="76"/>
        <v>0</v>
      </c>
      <c r="N109" s="76">
        <f>N110</f>
        <v>0</v>
      </c>
      <c r="O109" s="135">
        <f>O110+O111+O112+O113</f>
        <v>0</v>
      </c>
      <c r="P109" s="75">
        <f t="shared" si="77"/>
        <v>2562614</v>
      </c>
      <c r="Q109" s="76">
        <f>Q110</f>
        <v>2562614</v>
      </c>
      <c r="R109" s="135">
        <f>R110+R111+R112+R113</f>
        <v>0</v>
      </c>
      <c r="S109" s="75">
        <f t="shared" si="78"/>
        <v>0</v>
      </c>
      <c r="T109" s="76">
        <f>T110</f>
        <v>0</v>
      </c>
      <c r="U109" s="135">
        <f>U110+U111+U112+U113</f>
        <v>0</v>
      </c>
      <c r="V109" s="75">
        <f t="shared" si="79"/>
        <v>2562614</v>
      </c>
      <c r="W109" s="76">
        <f>W110</f>
        <v>2562614</v>
      </c>
      <c r="X109" s="135">
        <f>X110+X111+X112+X113</f>
        <v>0</v>
      </c>
      <c r="Y109" s="75">
        <f t="shared" si="80"/>
        <v>0</v>
      </c>
      <c r="Z109" s="76">
        <f>Z110</f>
        <v>0</v>
      </c>
      <c r="AA109" s="135">
        <f>AA110+AA111+AA112+AA113</f>
        <v>0</v>
      </c>
      <c r="AB109" s="75">
        <f t="shared" si="81"/>
        <v>2562614</v>
      </c>
      <c r="AC109" s="76">
        <f>AC110</f>
        <v>2562614</v>
      </c>
      <c r="AD109" s="135">
        <f>AD110+AD111+AD112+AD113</f>
        <v>0</v>
      </c>
      <c r="AF109" s="46">
        <f t="shared" si="73"/>
        <v>0</v>
      </c>
      <c r="AG109" s="46"/>
    </row>
    <row r="110" spans="1:33" ht="18.75" customHeight="1">
      <c r="A110" s="65"/>
      <c r="B110" s="140">
        <v>75647</v>
      </c>
      <c r="C110" s="157" t="s">
        <v>84</v>
      </c>
      <c r="D110" s="141">
        <v>2562614</v>
      </c>
      <c r="E110" s="142">
        <v>2562614</v>
      </c>
      <c r="F110" s="143">
        <v>0</v>
      </c>
      <c r="G110" s="141">
        <f t="shared" si="74"/>
        <v>0</v>
      </c>
      <c r="H110" s="142">
        <f>H111</f>
        <v>0</v>
      </c>
      <c r="I110" s="143">
        <v>0</v>
      </c>
      <c r="J110" s="141">
        <f t="shared" si="75"/>
        <v>2562614</v>
      </c>
      <c r="K110" s="142">
        <f>E110+H110</f>
        <v>2562614</v>
      </c>
      <c r="L110" s="143">
        <f>I110+F110</f>
        <v>0</v>
      </c>
      <c r="M110" s="141">
        <f t="shared" si="76"/>
        <v>0</v>
      </c>
      <c r="N110" s="142">
        <f>N111</f>
        <v>0</v>
      </c>
      <c r="O110" s="143">
        <v>0</v>
      </c>
      <c r="P110" s="141">
        <f t="shared" si="77"/>
        <v>2562614</v>
      </c>
      <c r="Q110" s="142">
        <f>K110+N110</f>
        <v>2562614</v>
      </c>
      <c r="R110" s="143">
        <f>O110+L110</f>
        <v>0</v>
      </c>
      <c r="S110" s="141">
        <f t="shared" si="78"/>
        <v>0</v>
      </c>
      <c r="T110" s="142">
        <f>T111</f>
        <v>0</v>
      </c>
      <c r="U110" s="143">
        <v>0</v>
      </c>
      <c r="V110" s="141">
        <f t="shared" si="79"/>
        <v>2562614</v>
      </c>
      <c r="W110" s="142">
        <f>Q110+T110</f>
        <v>2562614</v>
      </c>
      <c r="X110" s="143">
        <f>U110+R110</f>
        <v>0</v>
      </c>
      <c r="Y110" s="141">
        <f t="shared" si="80"/>
        <v>0</v>
      </c>
      <c r="Z110" s="142">
        <f>Z111</f>
        <v>0</v>
      </c>
      <c r="AA110" s="143">
        <v>0</v>
      </c>
      <c r="AB110" s="141">
        <f t="shared" si="81"/>
        <v>2562614</v>
      </c>
      <c r="AC110" s="142">
        <f>W110+Z110</f>
        <v>2562614</v>
      </c>
      <c r="AD110" s="143">
        <f>AA110+X110</f>
        <v>0</v>
      </c>
      <c r="AF110" s="46">
        <f t="shared" si="73"/>
        <v>0</v>
      </c>
      <c r="AG110" s="46"/>
    </row>
    <row r="111" spans="1:33" ht="12.75">
      <c r="A111" s="65"/>
      <c r="B111" s="106"/>
      <c r="C111" s="164" t="s">
        <v>85</v>
      </c>
      <c r="D111" s="165">
        <v>2562614</v>
      </c>
      <c r="E111" s="138">
        <v>2562614</v>
      </c>
      <c r="F111" s="139">
        <v>0</v>
      </c>
      <c r="G111" s="165">
        <f t="shared" si="74"/>
        <v>0</v>
      </c>
      <c r="H111" s="138"/>
      <c r="I111" s="139">
        <v>0</v>
      </c>
      <c r="J111" s="165">
        <f t="shared" si="75"/>
        <v>2562614</v>
      </c>
      <c r="K111" s="138">
        <f>E111+H111</f>
        <v>2562614</v>
      </c>
      <c r="L111" s="139">
        <f>I111+F111</f>
        <v>0</v>
      </c>
      <c r="M111" s="165">
        <f t="shared" si="76"/>
        <v>0</v>
      </c>
      <c r="N111" s="138"/>
      <c r="O111" s="139">
        <v>0</v>
      </c>
      <c r="P111" s="165">
        <f t="shared" si="77"/>
        <v>2562614</v>
      </c>
      <c r="Q111" s="138">
        <f>K111+N111</f>
        <v>2562614</v>
      </c>
      <c r="R111" s="139">
        <f>O111+L111</f>
        <v>0</v>
      </c>
      <c r="S111" s="165">
        <f t="shared" si="78"/>
        <v>0</v>
      </c>
      <c r="T111" s="138"/>
      <c r="U111" s="139">
        <v>0</v>
      </c>
      <c r="V111" s="165">
        <f t="shared" si="79"/>
        <v>2562614</v>
      </c>
      <c r="W111" s="138">
        <f>Q111+T111</f>
        <v>2562614</v>
      </c>
      <c r="X111" s="139">
        <f>U111+R111</f>
        <v>0</v>
      </c>
      <c r="Y111" s="165">
        <f t="shared" si="80"/>
        <v>0</v>
      </c>
      <c r="Z111" s="138"/>
      <c r="AA111" s="139">
        <v>0</v>
      </c>
      <c r="AB111" s="165">
        <f t="shared" si="81"/>
        <v>2562614</v>
      </c>
      <c r="AC111" s="138">
        <f>W111+Z111</f>
        <v>2562614</v>
      </c>
      <c r="AD111" s="139">
        <f>AA111+X111</f>
        <v>0</v>
      </c>
      <c r="AF111" s="46">
        <f t="shared" si="73"/>
        <v>0</v>
      </c>
      <c r="AG111" s="46"/>
    </row>
    <row r="112" spans="1:33" ht="12.75">
      <c r="A112" s="65"/>
      <c r="B112" s="133">
        <v>757</v>
      </c>
      <c r="C112" s="134" t="s">
        <v>86</v>
      </c>
      <c r="D112" s="75">
        <v>46310000</v>
      </c>
      <c r="E112" s="76">
        <v>46310000</v>
      </c>
      <c r="F112" s="171">
        <v>0</v>
      </c>
      <c r="G112" s="75">
        <f t="shared" si="74"/>
        <v>0</v>
      </c>
      <c r="H112" s="76">
        <f>H113</f>
        <v>0</v>
      </c>
      <c r="I112" s="171">
        <f>I113</f>
        <v>0</v>
      </c>
      <c r="J112" s="75">
        <f t="shared" si="75"/>
        <v>46310000</v>
      </c>
      <c r="K112" s="76">
        <f>K113</f>
        <v>46310000</v>
      </c>
      <c r="L112" s="171">
        <f>L113</f>
        <v>0</v>
      </c>
      <c r="M112" s="75">
        <f t="shared" si="76"/>
        <v>0</v>
      </c>
      <c r="N112" s="76">
        <f>N113</f>
        <v>0</v>
      </c>
      <c r="O112" s="171">
        <f>O113</f>
        <v>0</v>
      </c>
      <c r="P112" s="75">
        <f t="shared" si="77"/>
        <v>46310000</v>
      </c>
      <c r="Q112" s="76">
        <f>Q113</f>
        <v>46310000</v>
      </c>
      <c r="R112" s="171">
        <f>R113</f>
        <v>0</v>
      </c>
      <c r="S112" s="75">
        <f t="shared" si="78"/>
        <v>0</v>
      </c>
      <c r="T112" s="76">
        <f>T113</f>
        <v>0</v>
      </c>
      <c r="U112" s="171">
        <f>U113</f>
        <v>0</v>
      </c>
      <c r="V112" s="75">
        <f t="shared" si="79"/>
        <v>46310000</v>
      </c>
      <c r="W112" s="76">
        <f>W113</f>
        <v>46310000</v>
      </c>
      <c r="X112" s="171">
        <f>X113</f>
        <v>0</v>
      </c>
      <c r="Y112" s="75">
        <f t="shared" si="80"/>
        <v>0</v>
      </c>
      <c r="Z112" s="76">
        <f>Z113</f>
        <v>0</v>
      </c>
      <c r="AA112" s="171">
        <f>AA113</f>
        <v>0</v>
      </c>
      <c r="AB112" s="75">
        <f t="shared" si="81"/>
        <v>46310000</v>
      </c>
      <c r="AC112" s="76">
        <f>AC113</f>
        <v>46310000</v>
      </c>
      <c r="AD112" s="171">
        <f>AD113</f>
        <v>0</v>
      </c>
      <c r="AF112" s="46">
        <f t="shared" si="73"/>
        <v>0</v>
      </c>
      <c r="AG112" s="46"/>
    </row>
    <row r="113" spans="1:33" s="207" customFormat="1" ht="24" customHeight="1">
      <c r="A113" s="203"/>
      <c r="B113" s="136">
        <v>75702</v>
      </c>
      <c r="C113" s="164" t="s">
        <v>87</v>
      </c>
      <c r="D113" s="204">
        <v>46310000</v>
      </c>
      <c r="E113" s="205">
        <v>46310000</v>
      </c>
      <c r="F113" s="206">
        <v>0</v>
      </c>
      <c r="G113" s="204">
        <f t="shared" si="74"/>
        <v>0</v>
      </c>
      <c r="H113" s="205"/>
      <c r="I113" s="206">
        <v>0</v>
      </c>
      <c r="J113" s="204">
        <f t="shared" si="75"/>
        <v>46310000</v>
      </c>
      <c r="K113" s="205">
        <f>E113+H113</f>
        <v>46310000</v>
      </c>
      <c r="L113" s="206">
        <f>I113+F113</f>
        <v>0</v>
      </c>
      <c r="M113" s="204">
        <f t="shared" si="76"/>
        <v>0</v>
      </c>
      <c r="N113" s="205"/>
      <c r="O113" s="206">
        <v>0</v>
      </c>
      <c r="P113" s="204">
        <f t="shared" si="77"/>
        <v>46310000</v>
      </c>
      <c r="Q113" s="205">
        <f>K113+N113</f>
        <v>46310000</v>
      </c>
      <c r="R113" s="206">
        <f>O113+L113</f>
        <v>0</v>
      </c>
      <c r="S113" s="204">
        <f t="shared" si="78"/>
        <v>0</v>
      </c>
      <c r="T113" s="205"/>
      <c r="U113" s="206">
        <v>0</v>
      </c>
      <c r="V113" s="204">
        <f t="shared" si="79"/>
        <v>46310000</v>
      </c>
      <c r="W113" s="205">
        <f>Q113+T113</f>
        <v>46310000</v>
      </c>
      <c r="X113" s="206">
        <f>U113+R113</f>
        <v>0</v>
      </c>
      <c r="Y113" s="204">
        <f t="shared" si="80"/>
        <v>0</v>
      </c>
      <c r="Z113" s="205"/>
      <c r="AA113" s="206">
        <v>0</v>
      </c>
      <c r="AB113" s="204">
        <f t="shared" si="81"/>
        <v>46310000</v>
      </c>
      <c r="AC113" s="205">
        <f>W113+Z113</f>
        <v>46310000</v>
      </c>
      <c r="AD113" s="206">
        <f>AA113+X113</f>
        <v>0</v>
      </c>
      <c r="AF113" s="46">
        <f t="shared" si="73"/>
        <v>0</v>
      </c>
      <c r="AG113" s="46"/>
    </row>
    <row r="114" spans="1:33" ht="12.75">
      <c r="A114" s="65"/>
      <c r="B114" s="101">
        <v>758</v>
      </c>
      <c r="C114" s="149" t="s">
        <v>88</v>
      </c>
      <c r="D114" s="103">
        <v>55544149</v>
      </c>
      <c r="E114" s="104">
        <v>28544149</v>
      </c>
      <c r="F114" s="171">
        <v>27000000</v>
      </c>
      <c r="G114" s="103">
        <f t="shared" si="74"/>
        <v>2518982</v>
      </c>
      <c r="H114" s="104">
        <f>H139+H116+H119+H115</f>
        <v>3318982</v>
      </c>
      <c r="I114" s="171">
        <f>I139+I116+I119+I115</f>
        <v>-800000</v>
      </c>
      <c r="J114" s="103">
        <f t="shared" si="75"/>
        <v>58063131</v>
      </c>
      <c r="K114" s="104">
        <f>K139+K116+K119+K115</f>
        <v>31863131</v>
      </c>
      <c r="L114" s="171">
        <f>L139+L116+L119+L115</f>
        <v>26200000</v>
      </c>
      <c r="M114" s="103">
        <f t="shared" si="76"/>
        <v>-3334499</v>
      </c>
      <c r="N114" s="104">
        <f>N139+N116+N119+N115</f>
        <v>-3334499</v>
      </c>
      <c r="O114" s="171">
        <f>O139+O116+O119+O115</f>
        <v>0</v>
      </c>
      <c r="P114" s="103">
        <f t="shared" si="77"/>
        <v>54728632</v>
      </c>
      <c r="Q114" s="104">
        <f>Q139+Q116+Q119+Q115</f>
        <v>28528632</v>
      </c>
      <c r="R114" s="171">
        <f>R139+R116+R119+R115</f>
        <v>26200000</v>
      </c>
      <c r="S114" s="103">
        <f t="shared" si="78"/>
        <v>52244847</v>
      </c>
      <c r="T114" s="104">
        <f>T139+T116+T119+T115</f>
        <v>59044847</v>
      </c>
      <c r="U114" s="171">
        <f>U139+U116+U119+U115</f>
        <v>-6800000</v>
      </c>
      <c r="V114" s="103">
        <f t="shared" si="79"/>
        <v>106973479</v>
      </c>
      <c r="W114" s="104">
        <f>W139+W116+W119+W115</f>
        <v>87573479</v>
      </c>
      <c r="X114" s="171">
        <f>X139+X116+X119+X115</f>
        <v>19400000</v>
      </c>
      <c r="Y114" s="103">
        <f t="shared" si="80"/>
        <v>-2462495</v>
      </c>
      <c r="Z114" s="104">
        <f>Z139+Z116+Z119+Z115</f>
        <v>-2462495</v>
      </c>
      <c r="AA114" s="171">
        <f>AA139+AA116+AA119+AA115</f>
        <v>0</v>
      </c>
      <c r="AB114" s="103">
        <f t="shared" si="81"/>
        <v>104510984</v>
      </c>
      <c r="AC114" s="104">
        <f>AC139+AC116+AC119+AC115</f>
        <v>85110984</v>
      </c>
      <c r="AD114" s="171">
        <f>AD139+AD116+AD119+AD115</f>
        <v>19400000</v>
      </c>
      <c r="AF114" s="46">
        <f t="shared" si="73"/>
        <v>0</v>
      </c>
      <c r="AG114" s="46"/>
    </row>
    <row r="115" spans="1:33" ht="22.5" hidden="1">
      <c r="A115" s="65"/>
      <c r="B115" s="106">
        <v>75801</v>
      </c>
      <c r="C115" s="157" t="s">
        <v>89</v>
      </c>
      <c r="D115" s="80">
        <v>0</v>
      </c>
      <c r="E115" s="81">
        <v>0</v>
      </c>
      <c r="F115" s="82">
        <v>0</v>
      </c>
      <c r="G115" s="80">
        <f t="shared" si="74"/>
        <v>0</v>
      </c>
      <c r="H115" s="81">
        <v>0</v>
      </c>
      <c r="I115" s="82">
        <v>0</v>
      </c>
      <c r="J115" s="80">
        <f t="shared" si="75"/>
        <v>0</v>
      </c>
      <c r="K115" s="81">
        <v>0</v>
      </c>
      <c r="L115" s="82">
        <v>0</v>
      </c>
      <c r="M115" s="80">
        <f t="shared" si="76"/>
        <v>0</v>
      </c>
      <c r="N115" s="81">
        <v>0</v>
      </c>
      <c r="O115" s="82">
        <v>0</v>
      </c>
      <c r="P115" s="80">
        <f t="shared" si="77"/>
        <v>0</v>
      </c>
      <c r="Q115" s="81">
        <v>0</v>
      </c>
      <c r="R115" s="82">
        <v>0</v>
      </c>
      <c r="S115" s="80">
        <f t="shared" si="78"/>
        <v>0</v>
      </c>
      <c r="T115" s="81">
        <v>0</v>
      </c>
      <c r="U115" s="82">
        <v>0</v>
      </c>
      <c r="V115" s="80">
        <f t="shared" si="79"/>
        <v>0</v>
      </c>
      <c r="W115" s="81">
        <v>0</v>
      </c>
      <c r="X115" s="82">
        <v>0</v>
      </c>
      <c r="Y115" s="80">
        <f t="shared" si="80"/>
        <v>0</v>
      </c>
      <c r="Z115" s="81">
        <v>0</v>
      </c>
      <c r="AA115" s="82">
        <v>0</v>
      </c>
      <c r="AB115" s="80">
        <f t="shared" si="81"/>
        <v>0</v>
      </c>
      <c r="AC115" s="81">
        <v>0</v>
      </c>
      <c r="AD115" s="82">
        <v>0</v>
      </c>
      <c r="AF115" s="46">
        <f t="shared" si="73"/>
        <v>0</v>
      </c>
      <c r="AG115" s="46"/>
    </row>
    <row r="116" spans="1:33" ht="12.75">
      <c r="A116" s="65"/>
      <c r="B116" s="106">
        <v>75814</v>
      </c>
      <c r="C116" s="83" t="s">
        <v>90</v>
      </c>
      <c r="D116" s="80">
        <v>607503</v>
      </c>
      <c r="E116" s="81">
        <v>607503</v>
      </c>
      <c r="F116" s="82">
        <v>0</v>
      </c>
      <c r="G116" s="80">
        <f t="shared" si="74"/>
        <v>0</v>
      </c>
      <c r="H116" s="81">
        <f>H117+H118</f>
        <v>0</v>
      </c>
      <c r="I116" s="82">
        <f>I117+I118</f>
        <v>0</v>
      </c>
      <c r="J116" s="80">
        <f t="shared" si="75"/>
        <v>607503</v>
      </c>
      <c r="K116" s="81">
        <f aca="true" t="shared" si="90" ref="K116:K139">E116+H116</f>
        <v>607503</v>
      </c>
      <c r="L116" s="82">
        <f aca="true" t="shared" si="91" ref="L116:L139">I116+F116</f>
        <v>0</v>
      </c>
      <c r="M116" s="80">
        <f t="shared" si="76"/>
        <v>0</v>
      </c>
      <c r="N116" s="81">
        <f>N117+N118</f>
        <v>0</v>
      </c>
      <c r="O116" s="82">
        <f>O117+O118</f>
        <v>0</v>
      </c>
      <c r="P116" s="80">
        <f t="shared" si="77"/>
        <v>607503</v>
      </c>
      <c r="Q116" s="81">
        <f aca="true" t="shared" si="92" ref="Q116:Q139">K116+N116</f>
        <v>607503</v>
      </c>
      <c r="R116" s="82">
        <f aca="true" t="shared" si="93" ref="R116:R139">O116+L116</f>
        <v>0</v>
      </c>
      <c r="S116" s="80">
        <f t="shared" si="78"/>
        <v>0</v>
      </c>
      <c r="T116" s="81">
        <f>T117+T118</f>
        <v>0</v>
      </c>
      <c r="U116" s="82">
        <f>U117+U118</f>
        <v>0</v>
      </c>
      <c r="V116" s="80">
        <f t="shared" si="79"/>
        <v>607503</v>
      </c>
      <c r="W116" s="81">
        <f aca="true" t="shared" si="94" ref="W116:W139">Q116+T116</f>
        <v>607503</v>
      </c>
      <c r="X116" s="82">
        <f aca="true" t="shared" si="95" ref="X116:X139">U116+R116</f>
        <v>0</v>
      </c>
      <c r="Y116" s="80">
        <f t="shared" si="80"/>
        <v>0</v>
      </c>
      <c r="Z116" s="81">
        <f>Z117+Z118</f>
        <v>0</v>
      </c>
      <c r="AA116" s="82">
        <f>AA117+AA118</f>
        <v>0</v>
      </c>
      <c r="AB116" s="80">
        <f t="shared" si="81"/>
        <v>607503</v>
      </c>
      <c r="AC116" s="81">
        <f aca="true" t="shared" si="96" ref="AC116:AC132">W116+Z116</f>
        <v>607503</v>
      </c>
      <c r="AD116" s="82">
        <f aca="true" t="shared" si="97" ref="AD116:AD132">AA116+X116</f>
        <v>0</v>
      </c>
      <c r="AF116" s="46">
        <f t="shared" si="73"/>
        <v>0</v>
      </c>
      <c r="AG116" s="46"/>
    </row>
    <row r="117" spans="1:33" s="9" customFormat="1" ht="12.75">
      <c r="A117" s="121"/>
      <c r="B117" s="140"/>
      <c r="C117" s="129" t="s">
        <v>91</v>
      </c>
      <c r="D117" s="112">
        <v>607503</v>
      </c>
      <c r="E117" s="142">
        <v>607503</v>
      </c>
      <c r="F117" s="114">
        <v>0</v>
      </c>
      <c r="G117" s="112">
        <f t="shared" si="74"/>
        <v>0</v>
      </c>
      <c r="H117" s="142"/>
      <c r="I117" s="114">
        <v>0</v>
      </c>
      <c r="J117" s="112">
        <f t="shared" si="75"/>
        <v>607503</v>
      </c>
      <c r="K117" s="142">
        <f t="shared" si="90"/>
        <v>607503</v>
      </c>
      <c r="L117" s="114">
        <f t="shared" si="91"/>
        <v>0</v>
      </c>
      <c r="M117" s="112">
        <f t="shared" si="76"/>
        <v>0</v>
      </c>
      <c r="N117" s="142"/>
      <c r="O117" s="114">
        <v>0</v>
      </c>
      <c r="P117" s="112">
        <f t="shared" si="77"/>
        <v>607503</v>
      </c>
      <c r="Q117" s="142">
        <f t="shared" si="92"/>
        <v>607503</v>
      </c>
      <c r="R117" s="114">
        <f t="shared" si="93"/>
        <v>0</v>
      </c>
      <c r="S117" s="112">
        <f t="shared" si="78"/>
        <v>0</v>
      </c>
      <c r="T117" s="142"/>
      <c r="U117" s="114">
        <v>0</v>
      </c>
      <c r="V117" s="112">
        <f t="shared" si="79"/>
        <v>607503</v>
      </c>
      <c r="W117" s="142">
        <f t="shared" si="94"/>
        <v>607503</v>
      </c>
      <c r="X117" s="114">
        <f t="shared" si="95"/>
        <v>0</v>
      </c>
      <c r="Y117" s="112">
        <f t="shared" si="80"/>
        <v>0</v>
      </c>
      <c r="Z117" s="142"/>
      <c r="AA117" s="114"/>
      <c r="AB117" s="112">
        <f t="shared" si="81"/>
        <v>607503</v>
      </c>
      <c r="AC117" s="142">
        <f t="shared" si="96"/>
        <v>607503</v>
      </c>
      <c r="AD117" s="114">
        <f t="shared" si="97"/>
        <v>0</v>
      </c>
      <c r="AF117" s="46">
        <f t="shared" si="73"/>
        <v>0</v>
      </c>
      <c r="AG117" s="46"/>
    </row>
    <row r="118" spans="1:33" s="9" customFormat="1" ht="12.75" hidden="1">
      <c r="A118" s="121"/>
      <c r="B118" s="140"/>
      <c r="C118" s="129" t="s">
        <v>92</v>
      </c>
      <c r="D118" s="112">
        <v>0</v>
      </c>
      <c r="E118" s="142">
        <v>0</v>
      </c>
      <c r="F118" s="114">
        <v>0</v>
      </c>
      <c r="G118" s="112">
        <f t="shared" si="74"/>
        <v>0</v>
      </c>
      <c r="H118" s="142"/>
      <c r="I118" s="114"/>
      <c r="J118" s="112">
        <f t="shared" si="75"/>
        <v>0</v>
      </c>
      <c r="K118" s="142">
        <f t="shared" si="90"/>
        <v>0</v>
      </c>
      <c r="L118" s="114">
        <f t="shared" si="91"/>
        <v>0</v>
      </c>
      <c r="M118" s="112">
        <f t="shared" si="76"/>
        <v>0</v>
      </c>
      <c r="N118" s="142"/>
      <c r="O118" s="114"/>
      <c r="P118" s="112">
        <f t="shared" si="77"/>
        <v>0</v>
      </c>
      <c r="Q118" s="142">
        <f t="shared" si="92"/>
        <v>0</v>
      </c>
      <c r="R118" s="114">
        <f t="shared" si="93"/>
        <v>0</v>
      </c>
      <c r="S118" s="112">
        <f t="shared" si="78"/>
        <v>0</v>
      </c>
      <c r="T118" s="142"/>
      <c r="U118" s="114"/>
      <c r="V118" s="112">
        <f t="shared" si="79"/>
        <v>0</v>
      </c>
      <c r="W118" s="142">
        <f t="shared" si="94"/>
        <v>0</v>
      </c>
      <c r="X118" s="114">
        <f t="shared" si="95"/>
        <v>0</v>
      </c>
      <c r="Y118" s="112">
        <f t="shared" si="80"/>
        <v>0</v>
      </c>
      <c r="Z118" s="142"/>
      <c r="AA118" s="114"/>
      <c r="AB118" s="112">
        <f t="shared" si="81"/>
        <v>0</v>
      </c>
      <c r="AC118" s="142">
        <f t="shared" si="96"/>
        <v>0</v>
      </c>
      <c r="AD118" s="114">
        <f t="shared" si="97"/>
        <v>0</v>
      </c>
      <c r="AF118" s="46">
        <f t="shared" si="73"/>
        <v>0</v>
      </c>
      <c r="AG118" s="46"/>
    </row>
    <row r="119" spans="1:33" ht="12.75">
      <c r="A119" s="65"/>
      <c r="B119" s="106">
        <v>75818</v>
      </c>
      <c r="C119" s="83" t="s">
        <v>93</v>
      </c>
      <c r="D119" s="165">
        <v>47866849</v>
      </c>
      <c r="E119" s="138">
        <v>20866849</v>
      </c>
      <c r="F119" s="178">
        <v>27000000</v>
      </c>
      <c r="G119" s="165">
        <f t="shared" si="74"/>
        <v>2518982</v>
      </c>
      <c r="H119" s="138">
        <f>H120+H121</f>
        <v>3318982</v>
      </c>
      <c r="I119" s="178">
        <f>I120+I121</f>
        <v>-800000</v>
      </c>
      <c r="J119" s="165">
        <f t="shared" si="75"/>
        <v>50385831</v>
      </c>
      <c r="K119" s="138">
        <f t="shared" si="90"/>
        <v>24185831</v>
      </c>
      <c r="L119" s="178">
        <f t="shared" si="91"/>
        <v>26200000</v>
      </c>
      <c r="M119" s="165">
        <f t="shared" si="76"/>
        <v>-3334499</v>
      </c>
      <c r="N119" s="138">
        <f>N120+N121</f>
        <v>-3334499</v>
      </c>
      <c r="O119" s="178">
        <f>O120+O121</f>
        <v>0</v>
      </c>
      <c r="P119" s="165">
        <f t="shared" si="77"/>
        <v>47051332</v>
      </c>
      <c r="Q119" s="138">
        <f t="shared" si="92"/>
        <v>20851332</v>
      </c>
      <c r="R119" s="178">
        <f t="shared" si="93"/>
        <v>26200000</v>
      </c>
      <c r="S119" s="165">
        <f t="shared" si="78"/>
        <v>52244847</v>
      </c>
      <c r="T119" s="138">
        <f>T120+T121</f>
        <v>59044847</v>
      </c>
      <c r="U119" s="178">
        <f>U120+U121</f>
        <v>-6800000</v>
      </c>
      <c r="V119" s="165">
        <f t="shared" si="79"/>
        <v>99296179</v>
      </c>
      <c r="W119" s="138">
        <f t="shared" si="94"/>
        <v>79896179</v>
      </c>
      <c r="X119" s="178">
        <f t="shared" si="95"/>
        <v>19400000</v>
      </c>
      <c r="Y119" s="165">
        <f t="shared" si="80"/>
        <v>-2462495</v>
      </c>
      <c r="Z119" s="138">
        <f>Z120+Z121</f>
        <v>-2462495</v>
      </c>
      <c r="AA119" s="178">
        <f>AA120+AA121</f>
        <v>0</v>
      </c>
      <c r="AB119" s="165">
        <f t="shared" si="81"/>
        <v>96833684</v>
      </c>
      <c r="AC119" s="138">
        <f t="shared" si="96"/>
        <v>77433684</v>
      </c>
      <c r="AD119" s="178">
        <f t="shared" si="97"/>
        <v>19400000</v>
      </c>
      <c r="AF119" s="46">
        <f t="shared" si="73"/>
        <v>0</v>
      </c>
      <c r="AG119" s="46"/>
    </row>
    <row r="120" spans="1:33" ht="12.75">
      <c r="A120" s="65"/>
      <c r="B120" s="108"/>
      <c r="C120" s="208" t="s">
        <v>94</v>
      </c>
      <c r="D120" s="91">
        <v>7008849</v>
      </c>
      <c r="E120" s="92">
        <v>7008849</v>
      </c>
      <c r="F120" s="93">
        <v>0</v>
      </c>
      <c r="G120" s="91">
        <f t="shared" si="74"/>
        <v>3882365</v>
      </c>
      <c r="H120" s="92">
        <f>3932689-41441-8883</f>
        <v>3882365</v>
      </c>
      <c r="I120" s="93">
        <v>0</v>
      </c>
      <c r="J120" s="91">
        <f t="shared" si="75"/>
        <v>10891214</v>
      </c>
      <c r="K120" s="92">
        <f t="shared" si="90"/>
        <v>10891214</v>
      </c>
      <c r="L120" s="93">
        <f t="shared" si="91"/>
        <v>0</v>
      </c>
      <c r="M120" s="91">
        <f t="shared" si="76"/>
        <v>0</v>
      </c>
      <c r="N120" s="92">
        <v>0</v>
      </c>
      <c r="O120" s="93">
        <v>0</v>
      </c>
      <c r="P120" s="91">
        <f t="shared" si="77"/>
        <v>10891214</v>
      </c>
      <c r="Q120" s="92">
        <f t="shared" si="92"/>
        <v>10891214</v>
      </c>
      <c r="R120" s="93">
        <f t="shared" si="93"/>
        <v>0</v>
      </c>
      <c r="S120" s="91">
        <f t="shared" si="78"/>
        <v>-2250000</v>
      </c>
      <c r="T120" s="92">
        <f>-1650000-600000</f>
        <v>-2250000</v>
      </c>
      <c r="U120" s="93">
        <v>0</v>
      </c>
      <c r="V120" s="91">
        <f t="shared" si="79"/>
        <v>8641214</v>
      </c>
      <c r="W120" s="92">
        <f t="shared" si="94"/>
        <v>8641214</v>
      </c>
      <c r="X120" s="93">
        <f t="shared" si="95"/>
        <v>0</v>
      </c>
      <c r="Y120" s="91">
        <f t="shared" si="80"/>
        <v>-111695</v>
      </c>
      <c r="Z120" s="92">
        <f>-46033-65662</f>
        <v>-111695</v>
      </c>
      <c r="AA120" s="93"/>
      <c r="AB120" s="91">
        <f t="shared" si="81"/>
        <v>8529519</v>
      </c>
      <c r="AC120" s="92">
        <f t="shared" si="96"/>
        <v>8529519</v>
      </c>
      <c r="AD120" s="93">
        <f t="shared" si="97"/>
        <v>0</v>
      </c>
      <c r="AF120" s="46">
        <f t="shared" si="73"/>
        <v>0</v>
      </c>
      <c r="AG120" s="46"/>
    </row>
    <row r="121" spans="1:33" ht="12.75">
      <c r="A121" s="65"/>
      <c r="B121" s="108"/>
      <c r="C121" s="208" t="s">
        <v>95</v>
      </c>
      <c r="D121" s="209">
        <v>40858000</v>
      </c>
      <c r="E121" s="92">
        <v>13858000</v>
      </c>
      <c r="F121" s="93">
        <v>27000000</v>
      </c>
      <c r="G121" s="209">
        <f>SUM(G122:G138)</f>
        <v>-1363383</v>
      </c>
      <c r="H121" s="92">
        <f>SUM(H122:H131)</f>
        <v>-563383</v>
      </c>
      <c r="I121" s="93">
        <f>SUM(I122:I131)</f>
        <v>-800000</v>
      </c>
      <c r="J121" s="209">
        <f>SUM(J122:J138)</f>
        <v>39494617</v>
      </c>
      <c r="K121" s="92">
        <f t="shared" si="90"/>
        <v>13294617</v>
      </c>
      <c r="L121" s="93">
        <f t="shared" si="91"/>
        <v>26200000</v>
      </c>
      <c r="M121" s="209">
        <f>SUM(M122:M138)</f>
        <v>-3334499</v>
      </c>
      <c r="N121" s="92">
        <f>SUM(N122:N131)</f>
        <v>-3334499</v>
      </c>
      <c r="O121" s="93">
        <f>SUM(O122:O131)</f>
        <v>0</v>
      </c>
      <c r="P121" s="209">
        <f>SUM(P122:P138)</f>
        <v>36160118</v>
      </c>
      <c r="Q121" s="92">
        <f t="shared" si="92"/>
        <v>9960118</v>
      </c>
      <c r="R121" s="93">
        <f t="shared" si="93"/>
        <v>26200000</v>
      </c>
      <c r="S121" s="209">
        <f>SUM(S122:S138)</f>
        <v>54494847</v>
      </c>
      <c r="T121" s="92">
        <f>SUM(T122:T138)</f>
        <v>61294847</v>
      </c>
      <c r="U121" s="93">
        <f>SUM(U122:U138)</f>
        <v>-6800000</v>
      </c>
      <c r="V121" s="209">
        <f>SUM(V122:V138)</f>
        <v>90654965</v>
      </c>
      <c r="W121" s="92">
        <f t="shared" si="94"/>
        <v>71254965</v>
      </c>
      <c r="X121" s="93">
        <f t="shared" si="95"/>
        <v>19400000</v>
      </c>
      <c r="Y121" s="209">
        <f>SUM(Y122:Y138)</f>
        <v>-2350800</v>
      </c>
      <c r="Z121" s="92">
        <f>SUM(Z122:Z138)</f>
        <v>-2350800</v>
      </c>
      <c r="AA121" s="93">
        <f>SUM(AA122:AA138)</f>
        <v>0</v>
      </c>
      <c r="AB121" s="209">
        <f>SUM(AB122:AB138)</f>
        <v>88304165</v>
      </c>
      <c r="AC121" s="92">
        <f t="shared" si="96"/>
        <v>68904165</v>
      </c>
      <c r="AD121" s="93">
        <f t="shared" si="97"/>
        <v>19400000</v>
      </c>
      <c r="AF121" s="46">
        <f t="shared" si="73"/>
        <v>0</v>
      </c>
      <c r="AG121" s="46"/>
    </row>
    <row r="122" spans="1:33" ht="21" customHeight="1">
      <c r="A122" s="65"/>
      <c r="B122" s="108"/>
      <c r="C122" s="210" t="s">
        <v>96</v>
      </c>
      <c r="D122" s="91">
        <v>1500000</v>
      </c>
      <c r="E122" s="92">
        <v>1500000</v>
      </c>
      <c r="F122" s="93">
        <v>0</v>
      </c>
      <c r="G122" s="91">
        <f>SUM(H122:I122)</f>
        <v>0</v>
      </c>
      <c r="H122" s="92"/>
      <c r="I122" s="93"/>
      <c r="J122" s="91">
        <f>SUM(K122:L122)</f>
        <v>1500000</v>
      </c>
      <c r="K122" s="92">
        <f t="shared" si="90"/>
        <v>1500000</v>
      </c>
      <c r="L122" s="93">
        <f t="shared" si="91"/>
        <v>0</v>
      </c>
      <c r="M122" s="91">
        <f>SUM(N122:O122)</f>
        <v>0</v>
      </c>
      <c r="N122" s="92"/>
      <c r="O122" s="93"/>
      <c r="P122" s="91">
        <f>SUM(Q122:R122)</f>
        <v>1500000</v>
      </c>
      <c r="Q122" s="92">
        <f t="shared" si="92"/>
        <v>1500000</v>
      </c>
      <c r="R122" s="93">
        <f t="shared" si="93"/>
        <v>0</v>
      </c>
      <c r="S122" s="91">
        <f>SUM(T122:U122)</f>
        <v>0</v>
      </c>
      <c r="T122" s="92"/>
      <c r="U122" s="93"/>
      <c r="V122" s="91">
        <f>SUM(W122:X122)</f>
        <v>1500000</v>
      </c>
      <c r="W122" s="92">
        <f t="shared" si="94"/>
        <v>1500000</v>
      </c>
      <c r="X122" s="93">
        <f t="shared" si="95"/>
        <v>0</v>
      </c>
      <c r="Y122" s="91">
        <f>SUM(Z122:AA122)</f>
        <v>0</v>
      </c>
      <c r="Z122" s="92"/>
      <c r="AA122" s="93"/>
      <c r="AB122" s="91">
        <f>SUM(AC122:AD122)</f>
        <v>1500000</v>
      </c>
      <c r="AC122" s="92">
        <f t="shared" si="96"/>
        <v>1500000</v>
      </c>
      <c r="AD122" s="93">
        <f t="shared" si="97"/>
        <v>0</v>
      </c>
      <c r="AF122" s="46">
        <f t="shared" si="73"/>
        <v>0</v>
      </c>
      <c r="AG122" s="46"/>
    </row>
    <row r="123" spans="1:33" ht="15.75" customHeight="1">
      <c r="A123" s="65"/>
      <c r="B123" s="108"/>
      <c r="C123" s="90" t="s">
        <v>97</v>
      </c>
      <c r="D123" s="91">
        <v>3000000</v>
      </c>
      <c r="E123" s="92">
        <v>3000000</v>
      </c>
      <c r="F123" s="93">
        <v>0</v>
      </c>
      <c r="G123" s="91">
        <f>SUM(H123:I123)</f>
        <v>0</v>
      </c>
      <c r="H123" s="92"/>
      <c r="I123" s="93"/>
      <c r="J123" s="91">
        <f>SUM(K123:L123)</f>
        <v>3000000</v>
      </c>
      <c r="K123" s="92">
        <f t="shared" si="90"/>
        <v>3000000</v>
      </c>
      <c r="L123" s="93">
        <f t="shared" si="91"/>
        <v>0</v>
      </c>
      <c r="M123" s="91">
        <f>SUM(N123:O123)</f>
        <v>0</v>
      </c>
      <c r="N123" s="92"/>
      <c r="O123" s="93"/>
      <c r="P123" s="91">
        <f>SUM(Q123:R123)</f>
        <v>3000000</v>
      </c>
      <c r="Q123" s="92">
        <f t="shared" si="92"/>
        <v>3000000</v>
      </c>
      <c r="R123" s="93">
        <f t="shared" si="93"/>
        <v>0</v>
      </c>
      <c r="S123" s="91">
        <f>SUM(T123:U123)</f>
        <v>0</v>
      </c>
      <c r="T123" s="92"/>
      <c r="U123" s="93"/>
      <c r="V123" s="91">
        <f>SUM(W123:X123)</f>
        <v>3000000</v>
      </c>
      <c r="W123" s="92">
        <f t="shared" si="94"/>
        <v>3000000</v>
      </c>
      <c r="X123" s="93">
        <f t="shared" si="95"/>
        <v>0</v>
      </c>
      <c r="Y123" s="91">
        <f>SUM(Z123:AA123)</f>
        <v>0</v>
      </c>
      <c r="Z123" s="92"/>
      <c r="AA123" s="93"/>
      <c r="AB123" s="91">
        <f>SUM(AC123:AD123)</f>
        <v>3000000</v>
      </c>
      <c r="AC123" s="92">
        <f t="shared" si="96"/>
        <v>3000000</v>
      </c>
      <c r="AD123" s="93">
        <f t="shared" si="97"/>
        <v>0</v>
      </c>
      <c r="AF123" s="46">
        <f t="shared" si="73"/>
        <v>0</v>
      </c>
      <c r="AG123" s="46"/>
    </row>
    <row r="124" spans="1:33" ht="34.5" customHeight="1" hidden="1">
      <c r="A124" s="65"/>
      <c r="B124" s="108"/>
      <c r="C124" s="213" t="s">
        <v>98</v>
      </c>
      <c r="D124" s="91">
        <v>0</v>
      </c>
      <c r="E124" s="92">
        <v>0</v>
      </c>
      <c r="F124" s="93">
        <v>0</v>
      </c>
      <c r="G124" s="91">
        <f>SUM(H124:I124)</f>
        <v>0</v>
      </c>
      <c r="H124" s="118"/>
      <c r="I124" s="93"/>
      <c r="J124" s="91">
        <f>SUM(K124:L124)</f>
        <v>0</v>
      </c>
      <c r="K124" s="92">
        <f t="shared" si="90"/>
        <v>0</v>
      </c>
      <c r="L124" s="93">
        <f t="shared" si="91"/>
        <v>0</v>
      </c>
      <c r="M124" s="91">
        <f>SUM(N124:O124)</f>
        <v>0</v>
      </c>
      <c r="N124" s="118"/>
      <c r="O124" s="93"/>
      <c r="P124" s="91">
        <f>SUM(Q124:R124)</f>
        <v>0</v>
      </c>
      <c r="Q124" s="92">
        <f t="shared" si="92"/>
        <v>0</v>
      </c>
      <c r="R124" s="93">
        <f t="shared" si="93"/>
        <v>0</v>
      </c>
      <c r="S124" s="91">
        <f>SUM(T124:U124)</f>
        <v>0</v>
      </c>
      <c r="T124" s="118"/>
      <c r="U124" s="93"/>
      <c r="V124" s="91">
        <f>SUM(W124:X124)</f>
        <v>0</v>
      </c>
      <c r="W124" s="92">
        <f t="shared" si="94"/>
        <v>0</v>
      </c>
      <c r="X124" s="93">
        <f t="shared" si="95"/>
        <v>0</v>
      </c>
      <c r="Y124" s="91">
        <f>SUM(Z124:AA124)</f>
        <v>0</v>
      </c>
      <c r="Z124" s="118"/>
      <c r="AA124" s="93"/>
      <c r="AB124" s="91">
        <f>SUM(AC124:AD124)</f>
        <v>0</v>
      </c>
      <c r="AC124" s="92">
        <f t="shared" si="96"/>
        <v>0</v>
      </c>
      <c r="AD124" s="93">
        <f t="shared" si="97"/>
        <v>0</v>
      </c>
      <c r="AF124" s="46">
        <f t="shared" si="73"/>
        <v>0</v>
      </c>
      <c r="AG124" s="46"/>
    </row>
    <row r="125" spans="1:33" s="100" customFormat="1" ht="21.75" customHeight="1">
      <c r="A125" s="94"/>
      <c r="B125" s="109"/>
      <c r="C125" s="213" t="s">
        <v>99</v>
      </c>
      <c r="D125" s="91">
        <v>29000000</v>
      </c>
      <c r="E125" s="118">
        <v>2000000</v>
      </c>
      <c r="F125" s="93">
        <v>27000000</v>
      </c>
      <c r="G125" s="91">
        <f>H125+I125</f>
        <v>-800000</v>
      </c>
      <c r="H125" s="118"/>
      <c r="I125" s="93">
        <v>-800000</v>
      </c>
      <c r="J125" s="91">
        <f>K125+L125</f>
        <v>28200000</v>
      </c>
      <c r="K125" s="118">
        <f t="shared" si="90"/>
        <v>2000000</v>
      </c>
      <c r="L125" s="93">
        <f t="shared" si="91"/>
        <v>26200000</v>
      </c>
      <c r="M125" s="91">
        <f>N125+O125</f>
        <v>-150000</v>
      </c>
      <c r="N125" s="118">
        <v>-150000</v>
      </c>
      <c r="O125" s="93">
        <v>0</v>
      </c>
      <c r="P125" s="91">
        <f>Q125+R125</f>
        <v>28050000</v>
      </c>
      <c r="Q125" s="118">
        <f t="shared" si="92"/>
        <v>1850000</v>
      </c>
      <c r="R125" s="93">
        <f t="shared" si="93"/>
        <v>26200000</v>
      </c>
      <c r="S125" s="91">
        <f>T125+U125</f>
        <v>-7200000</v>
      </c>
      <c r="T125" s="118">
        <v>-400000</v>
      </c>
      <c r="U125" s="93">
        <f>-6800000</f>
        <v>-6800000</v>
      </c>
      <c r="V125" s="91">
        <f>W125+X125</f>
        <v>20850000</v>
      </c>
      <c r="W125" s="118">
        <f t="shared" si="94"/>
        <v>1450000</v>
      </c>
      <c r="X125" s="93">
        <f t="shared" si="95"/>
        <v>19400000</v>
      </c>
      <c r="Y125" s="91">
        <f>Z125+AA125</f>
        <v>-652300</v>
      </c>
      <c r="Z125" s="118">
        <v>-652300</v>
      </c>
      <c r="AA125" s="93"/>
      <c r="AB125" s="91">
        <f>AC125+AD125</f>
        <v>20197700</v>
      </c>
      <c r="AC125" s="118">
        <f t="shared" si="96"/>
        <v>797700</v>
      </c>
      <c r="AD125" s="93">
        <f t="shared" si="97"/>
        <v>19400000</v>
      </c>
      <c r="AF125" s="46">
        <f t="shared" si="73"/>
        <v>0</v>
      </c>
      <c r="AG125" s="46"/>
    </row>
    <row r="126" spans="1:33" s="100" customFormat="1" ht="12.75" hidden="1">
      <c r="A126" s="94"/>
      <c r="B126" s="109"/>
      <c r="C126" s="90" t="s">
        <v>100</v>
      </c>
      <c r="D126" s="91">
        <v>0</v>
      </c>
      <c r="E126" s="92">
        <v>0</v>
      </c>
      <c r="F126" s="93">
        <v>0</v>
      </c>
      <c r="G126" s="91">
        <f>H126+I126</f>
        <v>0</v>
      </c>
      <c r="H126" s="92"/>
      <c r="I126" s="93"/>
      <c r="J126" s="91">
        <f>K126+L126</f>
        <v>0</v>
      </c>
      <c r="K126" s="92">
        <f t="shared" si="90"/>
        <v>0</v>
      </c>
      <c r="L126" s="93">
        <f t="shared" si="91"/>
        <v>0</v>
      </c>
      <c r="M126" s="91">
        <f>N126+O126</f>
        <v>0</v>
      </c>
      <c r="N126" s="92"/>
      <c r="O126" s="93"/>
      <c r="P126" s="91">
        <f>Q126+R126</f>
        <v>0</v>
      </c>
      <c r="Q126" s="92">
        <f t="shared" si="92"/>
        <v>0</v>
      </c>
      <c r="R126" s="93">
        <f t="shared" si="93"/>
        <v>0</v>
      </c>
      <c r="S126" s="91">
        <f>T126+U126</f>
        <v>0</v>
      </c>
      <c r="T126" s="92"/>
      <c r="U126" s="93"/>
      <c r="V126" s="91">
        <f>W126+X126</f>
        <v>0</v>
      </c>
      <c r="W126" s="92">
        <f t="shared" si="94"/>
        <v>0</v>
      </c>
      <c r="X126" s="93">
        <f t="shared" si="95"/>
        <v>0</v>
      </c>
      <c r="Y126" s="91">
        <f>Z126+AA126</f>
        <v>0</v>
      </c>
      <c r="Z126" s="92"/>
      <c r="AA126" s="93"/>
      <c r="AB126" s="91">
        <f>AC126+AD126</f>
        <v>0</v>
      </c>
      <c r="AC126" s="92">
        <f t="shared" si="96"/>
        <v>0</v>
      </c>
      <c r="AD126" s="93">
        <f t="shared" si="97"/>
        <v>0</v>
      </c>
      <c r="AF126" s="46">
        <f t="shared" si="73"/>
        <v>0</v>
      </c>
      <c r="AG126" s="46"/>
    </row>
    <row r="127" spans="1:33" s="100" customFormat="1" ht="12.75" hidden="1">
      <c r="A127" s="94" t="s">
        <v>101</v>
      </c>
      <c r="B127" s="109"/>
      <c r="C127" s="90" t="s">
        <v>102</v>
      </c>
      <c r="D127" s="91"/>
      <c r="E127" s="92">
        <v>0</v>
      </c>
      <c r="F127" s="93">
        <v>0</v>
      </c>
      <c r="G127" s="91"/>
      <c r="H127" s="92"/>
      <c r="I127" s="93"/>
      <c r="J127" s="91"/>
      <c r="K127" s="92">
        <f t="shared" si="90"/>
        <v>0</v>
      </c>
      <c r="L127" s="93">
        <f t="shared" si="91"/>
        <v>0</v>
      </c>
      <c r="M127" s="91"/>
      <c r="N127" s="92"/>
      <c r="O127" s="93"/>
      <c r="P127" s="91"/>
      <c r="Q127" s="92">
        <f t="shared" si="92"/>
        <v>0</v>
      </c>
      <c r="R127" s="93">
        <f t="shared" si="93"/>
        <v>0</v>
      </c>
      <c r="S127" s="91"/>
      <c r="T127" s="92"/>
      <c r="U127" s="93"/>
      <c r="V127" s="91"/>
      <c r="W127" s="92">
        <f t="shared" si="94"/>
        <v>0</v>
      </c>
      <c r="X127" s="93">
        <f t="shared" si="95"/>
        <v>0</v>
      </c>
      <c r="Y127" s="91"/>
      <c r="Z127" s="92"/>
      <c r="AA127" s="93"/>
      <c r="AB127" s="91"/>
      <c r="AC127" s="92">
        <f t="shared" si="96"/>
        <v>0</v>
      </c>
      <c r="AD127" s="93">
        <f t="shared" si="97"/>
        <v>0</v>
      </c>
      <c r="AF127" s="46">
        <f t="shared" si="73"/>
        <v>0</v>
      </c>
      <c r="AG127" s="46"/>
    </row>
    <row r="128" spans="1:33" s="147" customFormat="1" ht="12.75">
      <c r="A128" s="145"/>
      <c r="B128" s="109"/>
      <c r="C128" s="90" t="s">
        <v>103</v>
      </c>
      <c r="D128" s="91">
        <v>358000</v>
      </c>
      <c r="E128" s="118">
        <v>358000</v>
      </c>
      <c r="F128" s="93">
        <v>0</v>
      </c>
      <c r="G128" s="91">
        <f>H128+I128</f>
        <v>36617</v>
      </c>
      <c r="H128" s="118">
        <f>11949+24668</f>
        <v>36617</v>
      </c>
      <c r="I128" s="93"/>
      <c r="J128" s="91">
        <f>K128+L128</f>
        <v>394617</v>
      </c>
      <c r="K128" s="118">
        <f t="shared" si="90"/>
        <v>394617</v>
      </c>
      <c r="L128" s="93">
        <f t="shared" si="91"/>
        <v>0</v>
      </c>
      <c r="M128" s="91">
        <f>N128+O128</f>
        <v>0</v>
      </c>
      <c r="N128" s="118">
        <v>0</v>
      </c>
      <c r="O128" s="93"/>
      <c r="P128" s="91">
        <f>Q128+R128</f>
        <v>394617</v>
      </c>
      <c r="Q128" s="118">
        <f t="shared" si="92"/>
        <v>394617</v>
      </c>
      <c r="R128" s="93">
        <f t="shared" si="93"/>
        <v>0</v>
      </c>
      <c r="S128" s="91">
        <f>T128+U128</f>
        <v>-202266</v>
      </c>
      <c r="T128" s="118">
        <v>-202266</v>
      </c>
      <c r="U128" s="93"/>
      <c r="V128" s="91">
        <f>W128+X128</f>
        <v>192351</v>
      </c>
      <c r="W128" s="118">
        <f t="shared" si="94"/>
        <v>192351</v>
      </c>
      <c r="X128" s="93">
        <f t="shared" si="95"/>
        <v>0</v>
      </c>
      <c r="Y128" s="91">
        <f>Z128+AA128</f>
        <v>0</v>
      </c>
      <c r="Z128" s="118"/>
      <c r="AA128" s="93"/>
      <c r="AB128" s="91">
        <f>AC128+AD128</f>
        <v>192351</v>
      </c>
      <c r="AC128" s="118">
        <f t="shared" si="96"/>
        <v>192351</v>
      </c>
      <c r="AD128" s="93">
        <f t="shared" si="97"/>
        <v>0</v>
      </c>
      <c r="AF128" s="14">
        <f t="shared" si="73"/>
        <v>0</v>
      </c>
      <c r="AG128" s="14"/>
    </row>
    <row r="129" spans="1:33" s="100" customFormat="1" ht="12.75" hidden="1">
      <c r="A129" s="94"/>
      <c r="B129" s="109"/>
      <c r="C129" s="213" t="s">
        <v>104</v>
      </c>
      <c r="D129" s="91">
        <v>0</v>
      </c>
      <c r="E129" s="92">
        <v>0</v>
      </c>
      <c r="F129" s="93">
        <v>0</v>
      </c>
      <c r="G129" s="91">
        <v>0</v>
      </c>
      <c r="H129" s="92"/>
      <c r="I129" s="93"/>
      <c r="J129" s="91">
        <v>0</v>
      </c>
      <c r="K129" s="92">
        <f t="shared" si="90"/>
        <v>0</v>
      </c>
      <c r="L129" s="93">
        <f t="shared" si="91"/>
        <v>0</v>
      </c>
      <c r="M129" s="91">
        <v>0</v>
      </c>
      <c r="N129" s="92"/>
      <c r="O129" s="93"/>
      <c r="P129" s="91">
        <v>0</v>
      </c>
      <c r="Q129" s="92">
        <f t="shared" si="92"/>
        <v>0</v>
      </c>
      <c r="R129" s="93">
        <f t="shared" si="93"/>
        <v>0</v>
      </c>
      <c r="S129" s="91">
        <v>0</v>
      </c>
      <c r="T129" s="92"/>
      <c r="U129" s="93"/>
      <c r="V129" s="91">
        <v>0</v>
      </c>
      <c r="W129" s="92">
        <f t="shared" si="94"/>
        <v>0</v>
      </c>
      <c r="X129" s="93">
        <f t="shared" si="95"/>
        <v>0</v>
      </c>
      <c r="Y129" s="91">
        <v>0</v>
      </c>
      <c r="Z129" s="92"/>
      <c r="AA129" s="93"/>
      <c r="AB129" s="91">
        <v>0</v>
      </c>
      <c r="AC129" s="92">
        <f t="shared" si="96"/>
        <v>0</v>
      </c>
      <c r="AD129" s="93">
        <f t="shared" si="97"/>
        <v>0</v>
      </c>
      <c r="AF129" s="46">
        <f t="shared" si="73"/>
        <v>0</v>
      </c>
      <c r="AG129" s="46"/>
    </row>
    <row r="130" spans="1:33" s="100" customFormat="1" ht="12.75">
      <c r="A130" s="94"/>
      <c r="B130" s="109"/>
      <c r="C130" s="213" t="s">
        <v>105</v>
      </c>
      <c r="D130" s="91">
        <v>1000000</v>
      </c>
      <c r="E130" s="92">
        <v>1000000</v>
      </c>
      <c r="F130" s="93">
        <v>0</v>
      </c>
      <c r="G130" s="91">
        <f>H130+I130</f>
        <v>0</v>
      </c>
      <c r="H130" s="92"/>
      <c r="I130" s="93"/>
      <c r="J130" s="91">
        <f>K130+L130</f>
        <v>1000000</v>
      </c>
      <c r="K130" s="92">
        <f t="shared" si="90"/>
        <v>1000000</v>
      </c>
      <c r="L130" s="93">
        <f t="shared" si="91"/>
        <v>0</v>
      </c>
      <c r="M130" s="91">
        <f>N130+O130</f>
        <v>-154499</v>
      </c>
      <c r="N130" s="92">
        <f>-64307-72546-17646</f>
        <v>-154499</v>
      </c>
      <c r="O130" s="93"/>
      <c r="P130" s="91">
        <f>Q130+R130</f>
        <v>845501</v>
      </c>
      <c r="Q130" s="92">
        <f t="shared" si="92"/>
        <v>845501</v>
      </c>
      <c r="R130" s="93">
        <f t="shared" si="93"/>
        <v>0</v>
      </c>
      <c r="S130" s="91">
        <f aca="true" t="shared" si="98" ref="S130:S136">T130+U130</f>
        <v>-108887</v>
      </c>
      <c r="T130" s="92">
        <f>-35300-51647-21940</f>
        <v>-108887</v>
      </c>
      <c r="U130" s="93"/>
      <c r="V130" s="91">
        <f aca="true" t="shared" si="99" ref="V130:V136">W130+X130</f>
        <v>736614</v>
      </c>
      <c r="W130" s="92">
        <f t="shared" si="94"/>
        <v>736614</v>
      </c>
      <c r="X130" s="93">
        <f t="shared" si="95"/>
        <v>0</v>
      </c>
      <c r="Y130" s="91">
        <f aca="true" t="shared" si="100" ref="Y130:Y136">Z130+AA130</f>
        <v>-57000</v>
      </c>
      <c r="Z130" s="92">
        <v>-57000</v>
      </c>
      <c r="AA130" s="93"/>
      <c r="AB130" s="91">
        <f aca="true" t="shared" si="101" ref="AB130:AB136">AC130+AD130</f>
        <v>679614</v>
      </c>
      <c r="AC130" s="92">
        <f t="shared" si="96"/>
        <v>679614</v>
      </c>
      <c r="AD130" s="93">
        <f t="shared" si="97"/>
        <v>0</v>
      </c>
      <c r="AF130" s="46">
        <f t="shared" si="73"/>
        <v>0</v>
      </c>
      <c r="AG130" s="46"/>
    </row>
    <row r="131" spans="1:33" s="100" customFormat="1" ht="22.5" customHeight="1">
      <c r="A131" s="94"/>
      <c r="B131" s="109"/>
      <c r="C131" s="213" t="s">
        <v>106</v>
      </c>
      <c r="D131" s="91">
        <v>6000000</v>
      </c>
      <c r="E131" s="92">
        <v>6000000</v>
      </c>
      <c r="F131" s="93">
        <v>0</v>
      </c>
      <c r="G131" s="91">
        <f>H131+I131</f>
        <v>-600000</v>
      </c>
      <c r="H131" s="92">
        <v>-600000</v>
      </c>
      <c r="I131" s="93"/>
      <c r="J131" s="91">
        <f>K131+L131</f>
        <v>5400000</v>
      </c>
      <c r="K131" s="92">
        <f t="shared" si="90"/>
        <v>5400000</v>
      </c>
      <c r="L131" s="93">
        <f t="shared" si="91"/>
        <v>0</v>
      </c>
      <c r="M131" s="91">
        <f>N131+O131</f>
        <v>-3030000</v>
      </c>
      <c r="N131" s="92">
        <v>-3030000</v>
      </c>
      <c r="O131" s="93"/>
      <c r="P131" s="91">
        <f>Q131+R131</f>
        <v>2370000</v>
      </c>
      <c r="Q131" s="92">
        <f t="shared" si="92"/>
        <v>2370000</v>
      </c>
      <c r="R131" s="93">
        <f t="shared" si="93"/>
        <v>0</v>
      </c>
      <c r="S131" s="91">
        <f t="shared" si="98"/>
        <v>-1910000</v>
      </c>
      <c r="T131" s="92">
        <f>-1910000</f>
        <v>-1910000</v>
      </c>
      <c r="U131" s="93"/>
      <c r="V131" s="91">
        <f t="shared" si="99"/>
        <v>460000</v>
      </c>
      <c r="W131" s="92">
        <f t="shared" si="94"/>
        <v>460000</v>
      </c>
      <c r="X131" s="93">
        <f t="shared" si="95"/>
        <v>0</v>
      </c>
      <c r="Y131" s="91">
        <f t="shared" si="100"/>
        <v>0</v>
      </c>
      <c r="Z131" s="92"/>
      <c r="AA131" s="93"/>
      <c r="AB131" s="91">
        <f t="shared" si="101"/>
        <v>460000</v>
      </c>
      <c r="AC131" s="92">
        <f t="shared" si="96"/>
        <v>460000</v>
      </c>
      <c r="AD131" s="93">
        <f t="shared" si="97"/>
        <v>0</v>
      </c>
      <c r="AF131" s="46">
        <f t="shared" si="73"/>
        <v>0</v>
      </c>
      <c r="AG131" s="46"/>
    </row>
    <row r="132" spans="1:33" s="100" customFormat="1" ht="22.5">
      <c r="A132" s="94"/>
      <c r="B132" s="109"/>
      <c r="C132" s="213" t="s">
        <v>107</v>
      </c>
      <c r="D132" s="91">
        <v>0</v>
      </c>
      <c r="E132" s="92">
        <v>0</v>
      </c>
      <c r="F132" s="93">
        <v>0</v>
      </c>
      <c r="G132" s="91">
        <f>H132+I132</f>
        <v>0</v>
      </c>
      <c r="H132" s="92"/>
      <c r="I132" s="93"/>
      <c r="J132" s="91">
        <f>K132+L132</f>
        <v>0</v>
      </c>
      <c r="K132" s="92">
        <f t="shared" si="90"/>
        <v>0</v>
      </c>
      <c r="L132" s="93">
        <f t="shared" si="91"/>
        <v>0</v>
      </c>
      <c r="M132" s="91">
        <f>N132+O132</f>
        <v>0</v>
      </c>
      <c r="N132" s="92"/>
      <c r="O132" s="93"/>
      <c r="P132" s="91">
        <f>Q132+R132</f>
        <v>0</v>
      </c>
      <c r="Q132" s="92">
        <f t="shared" si="92"/>
        <v>0</v>
      </c>
      <c r="R132" s="93">
        <f t="shared" si="93"/>
        <v>0</v>
      </c>
      <c r="S132" s="91">
        <f t="shared" si="98"/>
        <v>2616000</v>
      </c>
      <c r="T132" s="92">
        <v>2616000</v>
      </c>
      <c r="U132" s="93"/>
      <c r="V132" s="91">
        <f t="shared" si="99"/>
        <v>2616000</v>
      </c>
      <c r="W132" s="92">
        <f t="shared" si="94"/>
        <v>2616000</v>
      </c>
      <c r="X132" s="93">
        <f t="shared" si="95"/>
        <v>0</v>
      </c>
      <c r="Y132" s="91">
        <f t="shared" si="100"/>
        <v>-1641500</v>
      </c>
      <c r="Z132" s="92">
        <f>-1621000-20500</f>
        <v>-1641500</v>
      </c>
      <c r="AA132" s="93"/>
      <c r="AB132" s="91">
        <f t="shared" si="101"/>
        <v>974500</v>
      </c>
      <c r="AC132" s="92">
        <f t="shared" si="96"/>
        <v>974500</v>
      </c>
      <c r="AD132" s="93">
        <f t="shared" si="97"/>
        <v>0</v>
      </c>
      <c r="AF132" s="46">
        <f t="shared" si="73"/>
        <v>0</v>
      </c>
      <c r="AG132" s="46"/>
    </row>
    <row r="133" spans="1:33" s="100" customFormat="1" ht="22.5">
      <c r="A133" s="94"/>
      <c r="B133" s="109"/>
      <c r="C133" s="213" t="s">
        <v>326</v>
      </c>
      <c r="D133" s="91"/>
      <c r="E133" s="92"/>
      <c r="F133" s="93"/>
      <c r="G133" s="91"/>
      <c r="H133" s="92"/>
      <c r="I133" s="93"/>
      <c r="J133" s="91"/>
      <c r="K133" s="92"/>
      <c r="L133" s="93"/>
      <c r="M133" s="91"/>
      <c r="N133" s="92"/>
      <c r="O133" s="93"/>
      <c r="P133" s="91">
        <v>0</v>
      </c>
      <c r="Q133" s="92">
        <v>0</v>
      </c>
      <c r="R133" s="93">
        <v>0</v>
      </c>
      <c r="S133" s="91">
        <f t="shared" si="98"/>
        <v>300000</v>
      </c>
      <c r="T133" s="92">
        <v>300000</v>
      </c>
      <c r="U133" s="93"/>
      <c r="V133" s="91">
        <f t="shared" si="99"/>
        <v>300000</v>
      </c>
      <c r="W133" s="92">
        <f>Q133+T133</f>
        <v>300000</v>
      </c>
      <c r="X133" s="93">
        <f>U133+R133</f>
        <v>0</v>
      </c>
      <c r="Y133" s="91">
        <f t="shared" si="100"/>
        <v>0</v>
      </c>
      <c r="Z133" s="92"/>
      <c r="AA133" s="93"/>
      <c r="AB133" s="91">
        <f t="shared" si="101"/>
        <v>300000</v>
      </c>
      <c r="AC133" s="92">
        <f aca="true" t="shared" si="102" ref="AC133:AC139">W133+Z133</f>
        <v>300000</v>
      </c>
      <c r="AD133" s="93">
        <f aca="true" t="shared" si="103" ref="AD133:AD139">AA133+X133</f>
        <v>0</v>
      </c>
      <c r="AF133" s="46">
        <f t="shared" si="73"/>
        <v>0</v>
      </c>
      <c r="AG133" s="46"/>
    </row>
    <row r="134" spans="1:33" s="100" customFormat="1" ht="33.75">
      <c r="A134" s="94"/>
      <c r="B134" s="109"/>
      <c r="C134" s="213" t="s">
        <v>329</v>
      </c>
      <c r="D134" s="91"/>
      <c r="E134" s="92"/>
      <c r="F134" s="93"/>
      <c r="G134" s="91"/>
      <c r="H134" s="92"/>
      <c r="I134" s="93"/>
      <c r="J134" s="91"/>
      <c r="K134" s="92"/>
      <c r="L134" s="93"/>
      <c r="M134" s="91"/>
      <c r="N134" s="92"/>
      <c r="O134" s="93"/>
      <c r="P134" s="91">
        <v>0</v>
      </c>
      <c r="Q134" s="92">
        <v>0</v>
      </c>
      <c r="R134" s="93">
        <v>0</v>
      </c>
      <c r="S134" s="91">
        <f t="shared" si="98"/>
        <v>61000000</v>
      </c>
      <c r="T134" s="92">
        <v>61000000</v>
      </c>
      <c r="U134" s="93"/>
      <c r="V134" s="91">
        <f>W134+X134</f>
        <v>61000000</v>
      </c>
      <c r="W134" s="92">
        <f>Q134+T134</f>
        <v>61000000</v>
      </c>
      <c r="X134" s="93">
        <f>U134+R134</f>
        <v>0</v>
      </c>
      <c r="Y134" s="91">
        <f t="shared" si="100"/>
        <v>0</v>
      </c>
      <c r="Z134" s="92"/>
      <c r="AA134" s="93"/>
      <c r="AB134" s="91">
        <f t="shared" si="101"/>
        <v>61000000</v>
      </c>
      <c r="AC134" s="92">
        <f t="shared" si="102"/>
        <v>61000000</v>
      </c>
      <c r="AD134" s="93">
        <f t="shared" si="103"/>
        <v>0</v>
      </c>
      <c r="AF134" s="46">
        <f t="shared" si="73"/>
        <v>0</v>
      </c>
      <c r="AG134" s="46"/>
    </row>
    <row r="135" spans="1:33" s="100" customFormat="1" ht="22.5" hidden="1">
      <c r="A135" s="94"/>
      <c r="B135" s="109"/>
      <c r="C135" s="213" t="s">
        <v>108</v>
      </c>
      <c r="D135" s="91">
        <v>0</v>
      </c>
      <c r="E135" s="92">
        <v>0</v>
      </c>
      <c r="F135" s="93">
        <v>0</v>
      </c>
      <c r="G135" s="91">
        <f>H135+I135</f>
        <v>0</v>
      </c>
      <c r="H135" s="92"/>
      <c r="I135" s="93"/>
      <c r="J135" s="91">
        <f>K135+L135</f>
        <v>0</v>
      </c>
      <c r="K135" s="92">
        <f t="shared" si="90"/>
        <v>0</v>
      </c>
      <c r="L135" s="93">
        <f t="shared" si="91"/>
        <v>0</v>
      </c>
      <c r="M135" s="91">
        <f>N135+O135</f>
        <v>0</v>
      </c>
      <c r="N135" s="92"/>
      <c r="O135" s="93"/>
      <c r="P135" s="91">
        <f>Q135+R135</f>
        <v>0</v>
      </c>
      <c r="Q135" s="92">
        <f t="shared" si="92"/>
        <v>0</v>
      </c>
      <c r="R135" s="93">
        <f t="shared" si="93"/>
        <v>0</v>
      </c>
      <c r="S135" s="91">
        <f t="shared" si="98"/>
        <v>0</v>
      </c>
      <c r="T135" s="92"/>
      <c r="U135" s="93"/>
      <c r="V135" s="91">
        <f t="shared" si="99"/>
        <v>0</v>
      </c>
      <c r="W135" s="92">
        <f t="shared" si="94"/>
        <v>0</v>
      </c>
      <c r="X135" s="93">
        <f t="shared" si="95"/>
        <v>0</v>
      </c>
      <c r="Y135" s="91">
        <f t="shared" si="100"/>
        <v>0</v>
      </c>
      <c r="Z135" s="92"/>
      <c r="AA135" s="93"/>
      <c r="AB135" s="91">
        <f t="shared" si="101"/>
        <v>0</v>
      </c>
      <c r="AC135" s="92">
        <f t="shared" si="102"/>
        <v>0</v>
      </c>
      <c r="AD135" s="93">
        <f t="shared" si="103"/>
        <v>0</v>
      </c>
      <c r="AF135" s="46">
        <f t="shared" si="73"/>
        <v>0</v>
      </c>
      <c r="AG135" s="46"/>
    </row>
    <row r="136" spans="1:33" s="100" customFormat="1" ht="22.5" hidden="1">
      <c r="A136" s="94"/>
      <c r="B136" s="109"/>
      <c r="C136" s="213" t="s">
        <v>109</v>
      </c>
      <c r="D136" s="91">
        <v>0</v>
      </c>
      <c r="E136" s="92">
        <v>0</v>
      </c>
      <c r="F136" s="93">
        <v>0</v>
      </c>
      <c r="G136" s="91">
        <f>H136+I136</f>
        <v>0</v>
      </c>
      <c r="H136" s="92"/>
      <c r="I136" s="93"/>
      <c r="J136" s="91">
        <f>K136+L136</f>
        <v>0</v>
      </c>
      <c r="K136" s="92">
        <f t="shared" si="90"/>
        <v>0</v>
      </c>
      <c r="L136" s="93">
        <f t="shared" si="91"/>
        <v>0</v>
      </c>
      <c r="M136" s="91">
        <f>N136+O136</f>
        <v>0</v>
      </c>
      <c r="N136" s="92"/>
      <c r="O136" s="93"/>
      <c r="P136" s="91">
        <f>Q136+R136</f>
        <v>0</v>
      </c>
      <c r="Q136" s="92">
        <f t="shared" si="92"/>
        <v>0</v>
      </c>
      <c r="R136" s="93">
        <f t="shared" si="93"/>
        <v>0</v>
      </c>
      <c r="S136" s="91">
        <f t="shared" si="98"/>
        <v>0</v>
      </c>
      <c r="T136" s="92"/>
      <c r="U136" s="93"/>
      <c r="V136" s="91">
        <f t="shared" si="99"/>
        <v>0</v>
      </c>
      <c r="W136" s="92">
        <f t="shared" si="94"/>
        <v>0</v>
      </c>
      <c r="X136" s="93">
        <f t="shared" si="95"/>
        <v>0</v>
      </c>
      <c r="Y136" s="91">
        <f t="shared" si="100"/>
        <v>0</v>
      </c>
      <c r="Z136" s="92"/>
      <c r="AA136" s="93"/>
      <c r="AB136" s="91">
        <f t="shared" si="101"/>
        <v>0</v>
      </c>
      <c r="AC136" s="92">
        <f t="shared" si="102"/>
        <v>0</v>
      </c>
      <c r="AD136" s="93">
        <f t="shared" si="103"/>
        <v>0</v>
      </c>
      <c r="AF136" s="46">
        <f t="shared" si="73"/>
        <v>0</v>
      </c>
      <c r="AG136" s="46"/>
    </row>
    <row r="137" spans="1:33" s="100" customFormat="1" ht="12.75" hidden="1">
      <c r="A137" s="94"/>
      <c r="B137" s="109"/>
      <c r="C137" s="213" t="s">
        <v>110</v>
      </c>
      <c r="D137" s="91"/>
      <c r="E137" s="92">
        <v>0</v>
      </c>
      <c r="F137" s="93">
        <v>0</v>
      </c>
      <c r="G137" s="91"/>
      <c r="H137" s="92"/>
      <c r="I137" s="93"/>
      <c r="J137" s="91"/>
      <c r="K137" s="92">
        <f t="shared" si="90"/>
        <v>0</v>
      </c>
      <c r="L137" s="93">
        <f t="shared" si="91"/>
        <v>0</v>
      </c>
      <c r="M137" s="91"/>
      <c r="N137" s="92"/>
      <c r="O137" s="93"/>
      <c r="P137" s="91"/>
      <c r="Q137" s="92">
        <f t="shared" si="92"/>
        <v>0</v>
      </c>
      <c r="R137" s="93">
        <f t="shared" si="93"/>
        <v>0</v>
      </c>
      <c r="S137" s="91"/>
      <c r="T137" s="92"/>
      <c r="U137" s="93"/>
      <c r="V137" s="91"/>
      <c r="W137" s="92">
        <f t="shared" si="94"/>
        <v>0</v>
      </c>
      <c r="X137" s="93">
        <f t="shared" si="95"/>
        <v>0</v>
      </c>
      <c r="Y137" s="91"/>
      <c r="Z137" s="92"/>
      <c r="AA137" s="93"/>
      <c r="AB137" s="91"/>
      <c r="AC137" s="92">
        <f t="shared" si="102"/>
        <v>0</v>
      </c>
      <c r="AD137" s="93">
        <f t="shared" si="103"/>
        <v>0</v>
      </c>
      <c r="AF137" s="46">
        <f t="shared" si="73"/>
        <v>0</v>
      </c>
      <c r="AG137" s="46"/>
    </row>
    <row r="138" spans="1:33" s="100" customFormat="1" ht="12.75" hidden="1">
      <c r="A138" s="94"/>
      <c r="B138" s="109"/>
      <c r="C138" s="213" t="s">
        <v>111</v>
      </c>
      <c r="D138" s="91"/>
      <c r="E138" s="92">
        <v>0</v>
      </c>
      <c r="F138" s="93">
        <v>0</v>
      </c>
      <c r="G138" s="91"/>
      <c r="H138" s="92"/>
      <c r="I138" s="93"/>
      <c r="J138" s="91"/>
      <c r="K138" s="92">
        <f t="shared" si="90"/>
        <v>0</v>
      </c>
      <c r="L138" s="93">
        <f t="shared" si="91"/>
        <v>0</v>
      </c>
      <c r="M138" s="91"/>
      <c r="N138" s="92"/>
      <c r="O138" s="93"/>
      <c r="P138" s="91"/>
      <c r="Q138" s="92">
        <f t="shared" si="92"/>
        <v>0</v>
      </c>
      <c r="R138" s="93">
        <f t="shared" si="93"/>
        <v>0</v>
      </c>
      <c r="S138" s="91"/>
      <c r="T138" s="92"/>
      <c r="U138" s="93"/>
      <c r="V138" s="91"/>
      <c r="W138" s="92">
        <f t="shared" si="94"/>
        <v>0</v>
      </c>
      <c r="X138" s="93">
        <f t="shared" si="95"/>
        <v>0</v>
      </c>
      <c r="Y138" s="91"/>
      <c r="Z138" s="92"/>
      <c r="AA138" s="93"/>
      <c r="AB138" s="91"/>
      <c r="AC138" s="92">
        <f t="shared" si="102"/>
        <v>0</v>
      </c>
      <c r="AD138" s="93">
        <f t="shared" si="103"/>
        <v>0</v>
      </c>
      <c r="AF138" s="46">
        <f t="shared" si="73"/>
        <v>0</v>
      </c>
      <c r="AG138" s="46"/>
    </row>
    <row r="139" spans="1:33" ht="12.75">
      <c r="A139" s="65"/>
      <c r="B139" s="136">
        <v>75831</v>
      </c>
      <c r="C139" s="137" t="s">
        <v>112</v>
      </c>
      <c r="D139" s="80">
        <v>7069797</v>
      </c>
      <c r="E139" s="138">
        <v>7069797</v>
      </c>
      <c r="F139" s="82">
        <v>0</v>
      </c>
      <c r="G139" s="80">
        <f>H139+I139</f>
        <v>0</v>
      </c>
      <c r="H139" s="138"/>
      <c r="I139" s="82">
        <v>0</v>
      </c>
      <c r="J139" s="80">
        <f>K139+L139</f>
        <v>7069797</v>
      </c>
      <c r="K139" s="138">
        <f t="shared" si="90"/>
        <v>7069797</v>
      </c>
      <c r="L139" s="82">
        <f t="shared" si="91"/>
        <v>0</v>
      </c>
      <c r="M139" s="80">
        <f>N139+O139</f>
        <v>0</v>
      </c>
      <c r="N139" s="138"/>
      <c r="O139" s="82">
        <v>0</v>
      </c>
      <c r="P139" s="80">
        <f>Q139+R139</f>
        <v>7069797</v>
      </c>
      <c r="Q139" s="138">
        <f t="shared" si="92"/>
        <v>7069797</v>
      </c>
      <c r="R139" s="82">
        <f t="shared" si="93"/>
        <v>0</v>
      </c>
      <c r="S139" s="80">
        <f>T139+U139</f>
        <v>0</v>
      </c>
      <c r="T139" s="138"/>
      <c r="U139" s="82">
        <v>0</v>
      </c>
      <c r="V139" s="80">
        <f>W139+X139</f>
        <v>7069797</v>
      </c>
      <c r="W139" s="138">
        <f t="shared" si="94"/>
        <v>7069797</v>
      </c>
      <c r="X139" s="82">
        <f t="shared" si="95"/>
        <v>0</v>
      </c>
      <c r="Y139" s="80">
        <f>Z139+AA139</f>
        <v>0</v>
      </c>
      <c r="Z139" s="138"/>
      <c r="AA139" s="82"/>
      <c r="AB139" s="80">
        <f>AC139+AD139</f>
        <v>7069797</v>
      </c>
      <c r="AC139" s="138">
        <f t="shared" si="102"/>
        <v>7069797</v>
      </c>
      <c r="AD139" s="82">
        <f t="shared" si="103"/>
        <v>0</v>
      </c>
      <c r="AF139" s="46">
        <f t="shared" si="73"/>
        <v>0</v>
      </c>
      <c r="AG139" s="46"/>
    </row>
    <row r="140" spans="1:33" ht="12.75">
      <c r="A140" s="65"/>
      <c r="B140" s="101">
        <v>801</v>
      </c>
      <c r="C140" s="149" t="s">
        <v>113</v>
      </c>
      <c r="D140" s="103">
        <v>334519424</v>
      </c>
      <c r="E140" s="104">
        <v>315724690</v>
      </c>
      <c r="F140" s="171">
        <v>18794734</v>
      </c>
      <c r="G140" s="103">
        <f>H140+I140</f>
        <v>275191</v>
      </c>
      <c r="H140" s="104">
        <f>H141+H155+H172+H177+H178+H179+H164+H147+H185</f>
        <v>230191</v>
      </c>
      <c r="I140" s="171">
        <f>I141+I155+I172+I177+I178+I179+I164+I147+I185</f>
        <v>45000</v>
      </c>
      <c r="J140" s="103">
        <f>K140+L140</f>
        <v>334794615</v>
      </c>
      <c r="K140" s="104">
        <f>K141+K155+K172+K177+K178+K179+K164+K147+K185</f>
        <v>315954881</v>
      </c>
      <c r="L140" s="171">
        <f>L141+L155+L172+L177+L178+L179+L164+L147+L185</f>
        <v>18839734</v>
      </c>
      <c r="M140" s="103">
        <f>N140+O140</f>
        <v>30000</v>
      </c>
      <c r="N140" s="104">
        <f>N141+N155+N172+N177+N178+N179+N164+N147+N185</f>
        <v>30000</v>
      </c>
      <c r="O140" s="171">
        <f>O141+O155+O172+O177+O178+O179+O164+O147+O185</f>
        <v>0</v>
      </c>
      <c r="P140" s="103">
        <f>Q140+R140</f>
        <v>334824615</v>
      </c>
      <c r="Q140" s="104">
        <f>Q141+Q155+Q172+Q177+Q178+Q179+Q164+Q147+Q185</f>
        <v>315984881</v>
      </c>
      <c r="R140" s="171">
        <f>R141+R155+R172+R177+R178+R179+R164+R147+R185</f>
        <v>18839734</v>
      </c>
      <c r="S140" s="103">
        <f>T140+U140</f>
        <v>22892630</v>
      </c>
      <c r="T140" s="104">
        <f>T141+T155+T172+T177+T178+T179+T164+T147+T185</f>
        <v>20329730</v>
      </c>
      <c r="U140" s="171">
        <f>U141+U155+U172+U177+U178+U179+U164+U147+U185</f>
        <v>2562900</v>
      </c>
      <c r="V140" s="103">
        <f>W140+X140</f>
        <v>357717245</v>
      </c>
      <c r="W140" s="104">
        <f>W141+W155+W172+W177+W178+W179+W164+W147+W185</f>
        <v>336314611</v>
      </c>
      <c r="X140" s="171">
        <f>X141+X155+X172+X177+X178+X179+X164+X147+X185</f>
        <v>21402634</v>
      </c>
      <c r="Y140" s="103">
        <f>Z140+AA140</f>
        <v>2713725</v>
      </c>
      <c r="Z140" s="104">
        <f>Z141+Z155+Z172+Z177+Z178+Z179+Z164+Z147+Z185</f>
        <v>2713725</v>
      </c>
      <c r="AA140" s="171">
        <f>AA141+AA155+AA172+AA177+AA178+AA179+AA164+AA147+AA185</f>
        <v>0</v>
      </c>
      <c r="AB140" s="103">
        <f>AC140+AD140</f>
        <v>360430970</v>
      </c>
      <c r="AC140" s="104">
        <f>AC141+AC155+AC172+AC177+AC178+AC179+AC164+AC147+AC185</f>
        <v>339028336</v>
      </c>
      <c r="AD140" s="171">
        <f>AD141+AD155+AD172+AD177+AD178+AD179+AD164+AD147+AD185</f>
        <v>21402634</v>
      </c>
      <c r="AF140" s="46">
        <f t="shared" si="73"/>
        <v>0</v>
      </c>
      <c r="AG140" s="46"/>
    </row>
    <row r="141" spans="1:33" ht="12.75">
      <c r="A141" s="65"/>
      <c r="B141" s="106">
        <v>80101</v>
      </c>
      <c r="C141" s="83" t="s">
        <v>323</v>
      </c>
      <c r="D141" s="112">
        <v>136026861</v>
      </c>
      <c r="E141" s="113">
        <v>124682374</v>
      </c>
      <c r="F141" s="114">
        <v>11344487</v>
      </c>
      <c r="G141" s="112">
        <f>I141+H141</f>
        <v>145991</v>
      </c>
      <c r="H141" s="113">
        <f>H142+H145+H146</f>
        <v>100991</v>
      </c>
      <c r="I141" s="114">
        <f>I142+I145+I146</f>
        <v>45000</v>
      </c>
      <c r="J141" s="112">
        <f>L141+K141</f>
        <v>136172852</v>
      </c>
      <c r="K141" s="113">
        <f aca="true" t="shared" si="104" ref="K141:K184">E141+H141</f>
        <v>124783365</v>
      </c>
      <c r="L141" s="114">
        <f aca="true" t="shared" si="105" ref="L141:L184">I141+F141</f>
        <v>11389487</v>
      </c>
      <c r="M141" s="112">
        <f>O141+N141</f>
        <v>0</v>
      </c>
      <c r="N141" s="113">
        <f>N142+N145+N146</f>
        <v>0</v>
      </c>
      <c r="O141" s="114">
        <f>O142+O145+O146</f>
        <v>0</v>
      </c>
      <c r="P141" s="112">
        <f>R141+Q141</f>
        <v>136172852</v>
      </c>
      <c r="Q141" s="113">
        <f aca="true" t="shared" si="106" ref="Q141:Q184">K141+N141</f>
        <v>124783365</v>
      </c>
      <c r="R141" s="114">
        <f aca="true" t="shared" si="107" ref="R141:R184">O141+L141</f>
        <v>11389487</v>
      </c>
      <c r="S141" s="112">
        <f>U141+T141</f>
        <v>10688490</v>
      </c>
      <c r="T141" s="113">
        <f>T142+T145+T146+24+4413+4404</f>
        <v>8075590</v>
      </c>
      <c r="U141" s="114">
        <f>U142+U145+U146</f>
        <v>2612900</v>
      </c>
      <c r="V141" s="112">
        <f>X141+W141</f>
        <v>146861342</v>
      </c>
      <c r="W141" s="113">
        <f aca="true" t="shared" si="108" ref="W141:W184">Q141+T141</f>
        <v>132858955</v>
      </c>
      <c r="X141" s="114">
        <f aca="true" t="shared" si="109" ref="X141:X184">U141+R141</f>
        <v>14002387</v>
      </c>
      <c r="Y141" s="112">
        <f>AA141+Z141</f>
        <v>5099549</v>
      </c>
      <c r="Z141" s="113">
        <f>Z142+Z145+Z146</f>
        <v>5099549</v>
      </c>
      <c r="AA141" s="114">
        <f>AA142+AA145+AA146</f>
        <v>0</v>
      </c>
      <c r="AB141" s="112">
        <f>AD141+AC141</f>
        <v>151960891</v>
      </c>
      <c r="AC141" s="113">
        <f aca="true" t="shared" si="110" ref="AC141:AC184">W141+Z141</f>
        <v>137958504</v>
      </c>
      <c r="AD141" s="114">
        <f aca="true" t="shared" si="111" ref="AD141:AD184">AA141+X141</f>
        <v>14002387</v>
      </c>
      <c r="AF141" s="46">
        <f t="shared" si="73"/>
        <v>0</v>
      </c>
      <c r="AG141" s="46"/>
    </row>
    <row r="142" spans="1:34" ht="13.5" customHeight="1">
      <c r="A142" s="65"/>
      <c r="B142" s="108"/>
      <c r="C142" s="90" t="s">
        <v>115</v>
      </c>
      <c r="D142" s="91">
        <v>127487045</v>
      </c>
      <c r="E142" s="118">
        <v>116142558</v>
      </c>
      <c r="F142" s="186">
        <v>11344487</v>
      </c>
      <c r="G142" s="91">
        <f>H142+I142</f>
        <v>145991</v>
      </c>
      <c r="H142" s="118">
        <f>H143+10500</f>
        <v>100991</v>
      </c>
      <c r="I142" s="186">
        <v>45000</v>
      </c>
      <c r="J142" s="91">
        <f>K142+L142</f>
        <v>127633036</v>
      </c>
      <c r="K142" s="118">
        <f t="shared" si="104"/>
        <v>116243549</v>
      </c>
      <c r="L142" s="186">
        <f t="shared" si="105"/>
        <v>11389487</v>
      </c>
      <c r="M142" s="91">
        <f>N142+O142</f>
        <v>0</v>
      </c>
      <c r="N142" s="118">
        <f>N143</f>
        <v>0</v>
      </c>
      <c r="O142" s="186">
        <v>0</v>
      </c>
      <c r="P142" s="91">
        <f>Q142+R142</f>
        <v>127633036</v>
      </c>
      <c r="Q142" s="118">
        <f t="shared" si="106"/>
        <v>116243549</v>
      </c>
      <c r="R142" s="186">
        <f t="shared" si="107"/>
        <v>11389487</v>
      </c>
      <c r="S142" s="91">
        <f>T142+U142</f>
        <v>10294210</v>
      </c>
      <c r="T142" s="427">
        <f>48800+8625888+11440-2000000-195000-190000+72406+1197341+110435</f>
        <v>7681310</v>
      </c>
      <c r="U142" s="430">
        <f>2000000+450000+137900+25000</f>
        <v>2612900</v>
      </c>
      <c r="V142" s="91">
        <f>W142+X142</f>
        <v>137927246</v>
      </c>
      <c r="W142" s="118">
        <f t="shared" si="108"/>
        <v>123924859</v>
      </c>
      <c r="X142" s="186">
        <f t="shared" si="109"/>
        <v>14002387</v>
      </c>
      <c r="Y142" s="91">
        <f>Z142+AA142</f>
        <v>5099549</v>
      </c>
      <c r="Z142" s="427">
        <f>46033+5053516</f>
        <v>5099549</v>
      </c>
      <c r="AA142" s="430"/>
      <c r="AB142" s="91">
        <f>AC142+AD142</f>
        <v>143026795</v>
      </c>
      <c r="AC142" s="118">
        <f t="shared" si="110"/>
        <v>129024408</v>
      </c>
      <c r="AD142" s="186">
        <f t="shared" si="111"/>
        <v>14002387</v>
      </c>
      <c r="AF142" s="46">
        <f t="shared" si="73"/>
        <v>0</v>
      </c>
      <c r="AG142" s="46"/>
      <c r="AH142" s="46"/>
    </row>
    <row r="143" spans="1:33" s="218" customFormat="1" ht="12.75">
      <c r="A143" s="215"/>
      <c r="B143" s="216"/>
      <c r="C143" s="217" t="s">
        <v>42</v>
      </c>
      <c r="D143" s="181">
        <v>221436</v>
      </c>
      <c r="E143" s="182">
        <v>221436</v>
      </c>
      <c r="F143" s="183">
        <v>0</v>
      </c>
      <c r="G143" s="181">
        <f>H143+I143</f>
        <v>90491</v>
      </c>
      <c r="H143" s="182">
        <f>97296-6805</f>
        <v>90491</v>
      </c>
      <c r="I143" s="183"/>
      <c r="J143" s="181">
        <f>K143+L143</f>
        <v>311927</v>
      </c>
      <c r="K143" s="182">
        <f t="shared" si="104"/>
        <v>311927</v>
      </c>
      <c r="L143" s="183">
        <f t="shared" si="105"/>
        <v>0</v>
      </c>
      <c r="M143" s="181">
        <f>N143+O143</f>
        <v>0</v>
      </c>
      <c r="N143" s="182">
        <v>0</v>
      </c>
      <c r="O143" s="183"/>
      <c r="P143" s="181">
        <f>Q143+R143</f>
        <v>311927</v>
      </c>
      <c r="Q143" s="182">
        <f>K143+N143</f>
        <v>311927</v>
      </c>
      <c r="R143" s="183">
        <f t="shared" si="107"/>
        <v>0</v>
      </c>
      <c r="S143" s="181">
        <f>T143+U143</f>
        <v>0</v>
      </c>
      <c r="T143" s="182">
        <v>0</v>
      </c>
      <c r="U143" s="183"/>
      <c r="V143" s="181">
        <f>W143+X143</f>
        <v>311927</v>
      </c>
      <c r="W143" s="182">
        <f t="shared" si="108"/>
        <v>311927</v>
      </c>
      <c r="X143" s="183">
        <f t="shared" si="109"/>
        <v>0</v>
      </c>
      <c r="Y143" s="181">
        <f>Z143+AA143</f>
        <v>0</v>
      </c>
      <c r="Z143" s="182"/>
      <c r="AA143" s="183"/>
      <c r="AB143" s="181">
        <f>AC143+AD143</f>
        <v>311927</v>
      </c>
      <c r="AC143" s="182">
        <f t="shared" si="110"/>
        <v>311927</v>
      </c>
      <c r="AD143" s="183">
        <f t="shared" si="111"/>
        <v>0</v>
      </c>
      <c r="AF143" s="46">
        <f t="shared" si="73"/>
        <v>0</v>
      </c>
      <c r="AG143" s="46"/>
    </row>
    <row r="144" spans="1:34" s="218" customFormat="1" ht="9.75" customHeight="1">
      <c r="A144" s="215"/>
      <c r="B144" s="216"/>
      <c r="C144" s="217" t="s">
        <v>116</v>
      </c>
      <c r="D144" s="181">
        <v>236378</v>
      </c>
      <c r="E144" s="182">
        <v>236378</v>
      </c>
      <c r="F144" s="183">
        <v>0</v>
      </c>
      <c r="G144" s="181">
        <f>H144+I144</f>
        <v>0</v>
      </c>
      <c r="H144" s="182"/>
      <c r="I144" s="183">
        <v>0</v>
      </c>
      <c r="J144" s="181">
        <f>K144+L144</f>
        <v>236378</v>
      </c>
      <c r="K144" s="182">
        <f t="shared" si="104"/>
        <v>236378</v>
      </c>
      <c r="L144" s="183">
        <f t="shared" si="105"/>
        <v>0</v>
      </c>
      <c r="M144" s="181">
        <f>N144+O144</f>
        <v>0</v>
      </c>
      <c r="N144" s="182"/>
      <c r="O144" s="183">
        <v>0</v>
      </c>
      <c r="P144" s="181">
        <f>Q144+R144</f>
        <v>236378</v>
      </c>
      <c r="Q144" s="182">
        <f t="shared" si="106"/>
        <v>236378</v>
      </c>
      <c r="R144" s="183">
        <f t="shared" si="107"/>
        <v>0</v>
      </c>
      <c r="S144" s="181">
        <f>T144+U144</f>
        <v>135435</v>
      </c>
      <c r="T144" s="426">
        <f>110435</f>
        <v>110435</v>
      </c>
      <c r="U144" s="429">
        <v>25000</v>
      </c>
      <c r="V144" s="181">
        <f>W144+X144</f>
        <v>371813</v>
      </c>
      <c r="W144" s="182">
        <f t="shared" si="108"/>
        <v>346813</v>
      </c>
      <c r="X144" s="183">
        <f t="shared" si="109"/>
        <v>25000</v>
      </c>
      <c r="Y144" s="181">
        <f>Z144+AA144</f>
        <v>0</v>
      </c>
      <c r="Z144" s="426"/>
      <c r="AA144" s="429"/>
      <c r="AB144" s="181">
        <f>AC144+AD144</f>
        <v>371813</v>
      </c>
      <c r="AC144" s="182">
        <f t="shared" si="110"/>
        <v>346813</v>
      </c>
      <c r="AD144" s="183">
        <f t="shared" si="111"/>
        <v>25000</v>
      </c>
      <c r="AF144" s="46">
        <f t="shared" si="73"/>
        <v>0</v>
      </c>
      <c r="AG144" s="46"/>
      <c r="AH144" s="219"/>
    </row>
    <row r="145" spans="1:33" ht="12.75">
      <c r="A145" s="65"/>
      <c r="B145" s="108"/>
      <c r="C145" s="90" t="s">
        <v>117</v>
      </c>
      <c r="D145" s="91">
        <v>8380636</v>
      </c>
      <c r="E145" s="118">
        <v>8380636</v>
      </c>
      <c r="F145" s="186">
        <v>0</v>
      </c>
      <c r="G145" s="91">
        <f>H145+I145</f>
        <v>0</v>
      </c>
      <c r="H145" s="118"/>
      <c r="I145" s="186">
        <v>0</v>
      </c>
      <c r="J145" s="91">
        <f>K145+L145</f>
        <v>8380636</v>
      </c>
      <c r="K145" s="118">
        <f t="shared" si="104"/>
        <v>8380636</v>
      </c>
      <c r="L145" s="186">
        <f t="shared" si="105"/>
        <v>0</v>
      </c>
      <c r="M145" s="91">
        <f>N145+O145</f>
        <v>0</v>
      </c>
      <c r="N145" s="118"/>
      <c r="O145" s="186">
        <v>0</v>
      </c>
      <c r="P145" s="91">
        <f>Q145+R145</f>
        <v>8380636</v>
      </c>
      <c r="Q145" s="118">
        <f t="shared" si="106"/>
        <v>8380636</v>
      </c>
      <c r="R145" s="186">
        <f t="shared" si="107"/>
        <v>0</v>
      </c>
      <c r="S145" s="91">
        <f>T145+U145</f>
        <v>515039</v>
      </c>
      <c r="T145" s="427">
        <f>150600+305000+59439</f>
        <v>515039</v>
      </c>
      <c r="U145" s="186">
        <v>0</v>
      </c>
      <c r="V145" s="91">
        <f>W145+X145</f>
        <v>8895675</v>
      </c>
      <c r="W145" s="118">
        <f t="shared" si="108"/>
        <v>8895675</v>
      </c>
      <c r="X145" s="186">
        <f t="shared" si="109"/>
        <v>0</v>
      </c>
      <c r="Y145" s="91">
        <f>Z145+AA145</f>
        <v>0</v>
      </c>
      <c r="Z145" s="427"/>
      <c r="AA145" s="186"/>
      <c r="AB145" s="91">
        <f>AC145+AD145</f>
        <v>8895675</v>
      </c>
      <c r="AC145" s="118">
        <f t="shared" si="110"/>
        <v>8895675</v>
      </c>
      <c r="AD145" s="186">
        <f t="shared" si="111"/>
        <v>0</v>
      </c>
      <c r="AF145" s="46">
        <f t="shared" si="73"/>
        <v>0</v>
      </c>
      <c r="AG145" s="46"/>
    </row>
    <row r="146" spans="1:33" s="100" customFormat="1" ht="12.75">
      <c r="A146" s="94"/>
      <c r="B146" s="126"/>
      <c r="C146" s="132" t="s">
        <v>33</v>
      </c>
      <c r="D146" s="97">
        <v>159180</v>
      </c>
      <c r="E146" s="98">
        <v>159180</v>
      </c>
      <c r="F146" s="220">
        <v>0</v>
      </c>
      <c r="G146" s="97">
        <f>H146+I146</f>
        <v>0</v>
      </c>
      <c r="H146" s="98"/>
      <c r="I146" s="220">
        <v>0</v>
      </c>
      <c r="J146" s="97">
        <f>K146+L146</f>
        <v>159180</v>
      </c>
      <c r="K146" s="98">
        <f t="shared" si="104"/>
        <v>159180</v>
      </c>
      <c r="L146" s="220">
        <f t="shared" si="105"/>
        <v>0</v>
      </c>
      <c r="M146" s="97">
        <f>N146+O146</f>
        <v>0</v>
      </c>
      <c r="N146" s="98"/>
      <c r="O146" s="220">
        <v>0</v>
      </c>
      <c r="P146" s="97">
        <f>Q146+R146</f>
        <v>159180</v>
      </c>
      <c r="Q146" s="98">
        <f t="shared" si="106"/>
        <v>159180</v>
      </c>
      <c r="R146" s="220">
        <f t="shared" si="107"/>
        <v>0</v>
      </c>
      <c r="S146" s="97">
        <f>T146+U146</f>
        <v>-129600</v>
      </c>
      <c r="T146" s="98">
        <v>-129600</v>
      </c>
      <c r="U146" s="220">
        <v>0</v>
      </c>
      <c r="V146" s="97">
        <f>W146+X146</f>
        <v>29580</v>
      </c>
      <c r="W146" s="98">
        <f t="shared" si="108"/>
        <v>29580</v>
      </c>
      <c r="X146" s="220">
        <f t="shared" si="109"/>
        <v>0</v>
      </c>
      <c r="Y146" s="97">
        <f>Z146+AA146</f>
        <v>0</v>
      </c>
      <c r="Z146" s="98"/>
      <c r="AA146" s="220"/>
      <c r="AB146" s="97">
        <f>AC146+AD146</f>
        <v>29580</v>
      </c>
      <c r="AC146" s="98">
        <f t="shared" si="110"/>
        <v>29580</v>
      </c>
      <c r="AD146" s="220">
        <f t="shared" si="111"/>
        <v>0</v>
      </c>
      <c r="AF146" s="46">
        <f t="shared" si="73"/>
        <v>0</v>
      </c>
      <c r="AG146" s="46"/>
    </row>
    <row r="147" spans="1:33" ht="12.75">
      <c r="A147" s="65"/>
      <c r="B147" s="140">
        <v>80103</v>
      </c>
      <c r="C147" s="221" t="s">
        <v>118</v>
      </c>
      <c r="D147" s="80">
        <v>10098979</v>
      </c>
      <c r="E147" s="81">
        <v>10098979</v>
      </c>
      <c r="F147" s="82">
        <v>0</v>
      </c>
      <c r="G147" s="80">
        <f>I147+H147</f>
        <v>0</v>
      </c>
      <c r="H147" s="81">
        <f>H148+H150+H152</f>
        <v>0</v>
      </c>
      <c r="I147" s="82">
        <f>I148+I150+I152</f>
        <v>0</v>
      </c>
      <c r="J147" s="80">
        <f>L147+K147</f>
        <v>10098979</v>
      </c>
      <c r="K147" s="81">
        <f t="shared" si="104"/>
        <v>10098979</v>
      </c>
      <c r="L147" s="82">
        <f t="shared" si="105"/>
        <v>0</v>
      </c>
      <c r="M147" s="80">
        <f>O147+N147</f>
        <v>0</v>
      </c>
      <c r="N147" s="81">
        <f>N148+N150+N152</f>
        <v>0</v>
      </c>
      <c r="O147" s="82">
        <f>O148+O150+O152</f>
        <v>0</v>
      </c>
      <c r="P147" s="80">
        <f>R147+Q147</f>
        <v>10098979</v>
      </c>
      <c r="Q147" s="81">
        <f t="shared" si="106"/>
        <v>10098979</v>
      </c>
      <c r="R147" s="82">
        <f t="shared" si="107"/>
        <v>0</v>
      </c>
      <c r="S147" s="80">
        <f>U147+T147</f>
        <v>265451</v>
      </c>
      <c r="T147" s="81">
        <f>T148+T150+T152</f>
        <v>265451</v>
      </c>
      <c r="U147" s="82">
        <f>U148+U150+U152</f>
        <v>0</v>
      </c>
      <c r="V147" s="80">
        <f>X147+W147</f>
        <v>10364430</v>
      </c>
      <c r="W147" s="81">
        <f t="shared" si="108"/>
        <v>10364430</v>
      </c>
      <c r="X147" s="82">
        <f t="shared" si="109"/>
        <v>0</v>
      </c>
      <c r="Y147" s="80">
        <f>AA147+Z147</f>
        <v>-3899376</v>
      </c>
      <c r="Z147" s="81">
        <f>Z148+Z150+Z152</f>
        <v>-3899376</v>
      </c>
      <c r="AA147" s="82">
        <f>AA148+AA150+AA152</f>
        <v>0</v>
      </c>
      <c r="AB147" s="80">
        <f>AD147+AC147</f>
        <v>6465054</v>
      </c>
      <c r="AC147" s="81">
        <f t="shared" si="110"/>
        <v>6465054</v>
      </c>
      <c r="AD147" s="82">
        <f t="shared" si="111"/>
        <v>0</v>
      </c>
      <c r="AF147" s="46">
        <f t="shared" si="73"/>
        <v>0</v>
      </c>
      <c r="AG147" s="46"/>
    </row>
    <row r="148" spans="1:33" ht="12.75">
      <c r="A148" s="65"/>
      <c r="B148" s="130"/>
      <c r="C148" s="90" t="s">
        <v>119</v>
      </c>
      <c r="D148" s="91">
        <v>9169543</v>
      </c>
      <c r="E148" s="92">
        <v>9169543</v>
      </c>
      <c r="F148" s="186">
        <v>0</v>
      </c>
      <c r="G148" s="91">
        <f aca="true" t="shared" si="112" ref="G148:G154">H148+I148</f>
        <v>0</v>
      </c>
      <c r="H148" s="92"/>
      <c r="I148" s="186">
        <v>0</v>
      </c>
      <c r="J148" s="91">
        <f aca="true" t="shared" si="113" ref="J148:J154">K148+L148</f>
        <v>9169543</v>
      </c>
      <c r="K148" s="92">
        <f t="shared" si="104"/>
        <v>9169543</v>
      </c>
      <c r="L148" s="186">
        <f t="shared" si="105"/>
        <v>0</v>
      </c>
      <c r="M148" s="91">
        <f aca="true" t="shared" si="114" ref="M148:M154">N148+O148</f>
        <v>0</v>
      </c>
      <c r="N148" s="92"/>
      <c r="O148" s="186">
        <v>0</v>
      </c>
      <c r="P148" s="91">
        <f aca="true" t="shared" si="115" ref="P148:P154">Q148+R148</f>
        <v>9169543</v>
      </c>
      <c r="Q148" s="92">
        <f t="shared" si="106"/>
        <v>9169543</v>
      </c>
      <c r="R148" s="186">
        <f t="shared" si="107"/>
        <v>0</v>
      </c>
      <c r="S148" s="91">
        <f aca="true" t="shared" si="116" ref="S148:S154">T148+U148</f>
        <v>265451</v>
      </c>
      <c r="T148" s="92">
        <v>265451</v>
      </c>
      <c r="U148" s="186">
        <v>0</v>
      </c>
      <c r="V148" s="91">
        <f aca="true" t="shared" si="117" ref="V148:V154">W148+X148</f>
        <v>9434994</v>
      </c>
      <c r="W148" s="92">
        <f t="shared" si="108"/>
        <v>9434994</v>
      </c>
      <c r="X148" s="186">
        <f t="shared" si="109"/>
        <v>0</v>
      </c>
      <c r="Y148" s="91">
        <f aca="true" t="shared" si="118" ref="Y148:Y154">Z148+AA148</f>
        <v>-3899376</v>
      </c>
      <c r="Z148" s="92">
        <v>-3899376</v>
      </c>
      <c r="AA148" s="186"/>
      <c r="AB148" s="91">
        <f aca="true" t="shared" si="119" ref="AB148:AB154">AC148+AD148</f>
        <v>5535618</v>
      </c>
      <c r="AC148" s="92">
        <f t="shared" si="110"/>
        <v>5535618</v>
      </c>
      <c r="AD148" s="186">
        <f t="shared" si="111"/>
        <v>0</v>
      </c>
      <c r="AF148" s="46">
        <f t="shared" si="73"/>
        <v>0</v>
      </c>
      <c r="AG148" s="46"/>
    </row>
    <row r="149" spans="1:33" s="218" customFormat="1" ht="12.75" hidden="1">
      <c r="A149" s="215"/>
      <c r="B149" s="216"/>
      <c r="C149" s="217" t="s">
        <v>42</v>
      </c>
      <c r="D149" s="181">
        <v>0</v>
      </c>
      <c r="E149" s="182">
        <v>0</v>
      </c>
      <c r="F149" s="183">
        <v>0</v>
      </c>
      <c r="G149" s="181">
        <f t="shared" si="112"/>
        <v>0</v>
      </c>
      <c r="H149" s="182"/>
      <c r="I149" s="183">
        <v>0</v>
      </c>
      <c r="J149" s="181">
        <f t="shared" si="113"/>
        <v>0</v>
      </c>
      <c r="K149" s="182">
        <f t="shared" si="104"/>
        <v>0</v>
      </c>
      <c r="L149" s="183">
        <f t="shared" si="105"/>
        <v>0</v>
      </c>
      <c r="M149" s="181">
        <f t="shared" si="114"/>
        <v>0</v>
      </c>
      <c r="N149" s="182"/>
      <c r="O149" s="183">
        <v>0</v>
      </c>
      <c r="P149" s="181">
        <f t="shared" si="115"/>
        <v>0</v>
      </c>
      <c r="Q149" s="182">
        <f t="shared" si="106"/>
        <v>0</v>
      </c>
      <c r="R149" s="183">
        <f t="shared" si="107"/>
        <v>0</v>
      </c>
      <c r="S149" s="181">
        <f t="shared" si="116"/>
        <v>0</v>
      </c>
      <c r="T149" s="182"/>
      <c r="U149" s="183">
        <v>0</v>
      </c>
      <c r="V149" s="181">
        <f t="shared" si="117"/>
        <v>0</v>
      </c>
      <c r="W149" s="182">
        <f t="shared" si="108"/>
        <v>0</v>
      </c>
      <c r="X149" s="183">
        <f t="shared" si="109"/>
        <v>0</v>
      </c>
      <c r="Y149" s="181">
        <f t="shared" si="118"/>
        <v>0</v>
      </c>
      <c r="Z149" s="182"/>
      <c r="AA149" s="183"/>
      <c r="AB149" s="181">
        <f t="shared" si="119"/>
        <v>0</v>
      </c>
      <c r="AC149" s="182">
        <f t="shared" si="110"/>
        <v>0</v>
      </c>
      <c r="AD149" s="183">
        <f t="shared" si="111"/>
        <v>0</v>
      </c>
      <c r="AF149" s="46">
        <f t="shared" si="73"/>
        <v>0</v>
      </c>
      <c r="AG149" s="46"/>
    </row>
    <row r="150" spans="1:33" ht="12.75">
      <c r="A150" s="65"/>
      <c r="B150" s="108"/>
      <c r="C150" s="90" t="s">
        <v>120</v>
      </c>
      <c r="D150" s="91">
        <v>883536</v>
      </c>
      <c r="E150" s="92">
        <v>883536</v>
      </c>
      <c r="F150" s="186">
        <v>0</v>
      </c>
      <c r="G150" s="91">
        <f t="shared" si="112"/>
        <v>0</v>
      </c>
      <c r="H150" s="92"/>
      <c r="I150" s="186">
        <v>0</v>
      </c>
      <c r="J150" s="91">
        <f t="shared" si="113"/>
        <v>883536</v>
      </c>
      <c r="K150" s="92">
        <f t="shared" si="104"/>
        <v>883536</v>
      </c>
      <c r="L150" s="186">
        <f t="shared" si="105"/>
        <v>0</v>
      </c>
      <c r="M150" s="91">
        <f t="shared" si="114"/>
        <v>0</v>
      </c>
      <c r="N150" s="92"/>
      <c r="O150" s="186">
        <v>0</v>
      </c>
      <c r="P150" s="91">
        <f t="shared" si="115"/>
        <v>883536</v>
      </c>
      <c r="Q150" s="92">
        <f t="shared" si="106"/>
        <v>883536</v>
      </c>
      <c r="R150" s="186">
        <f t="shared" si="107"/>
        <v>0</v>
      </c>
      <c r="S150" s="91">
        <f t="shared" si="116"/>
        <v>0</v>
      </c>
      <c r="T150" s="92"/>
      <c r="U150" s="186">
        <v>0</v>
      </c>
      <c r="V150" s="91">
        <f t="shared" si="117"/>
        <v>883536</v>
      </c>
      <c r="W150" s="92">
        <f t="shared" si="108"/>
        <v>883536</v>
      </c>
      <c r="X150" s="186">
        <f t="shared" si="109"/>
        <v>0</v>
      </c>
      <c r="Y150" s="91">
        <f t="shared" si="118"/>
        <v>0</v>
      </c>
      <c r="Z150" s="92"/>
      <c r="AA150" s="186"/>
      <c r="AB150" s="91">
        <f t="shared" si="119"/>
        <v>883536</v>
      </c>
      <c r="AC150" s="92">
        <f t="shared" si="110"/>
        <v>883536</v>
      </c>
      <c r="AD150" s="186">
        <f t="shared" si="111"/>
        <v>0</v>
      </c>
      <c r="AF150" s="46">
        <f t="shared" si="73"/>
        <v>0</v>
      </c>
      <c r="AG150" s="46"/>
    </row>
    <row r="151" spans="1:33" s="228" customFormat="1" ht="30" customHeight="1">
      <c r="A151" s="222"/>
      <c r="B151" s="223"/>
      <c r="C151" s="224" t="s">
        <v>121</v>
      </c>
      <c r="D151" s="225">
        <v>218040</v>
      </c>
      <c r="E151" s="226">
        <v>218040</v>
      </c>
      <c r="F151" s="227">
        <v>0</v>
      </c>
      <c r="G151" s="225">
        <f t="shared" si="112"/>
        <v>0</v>
      </c>
      <c r="H151" s="226"/>
      <c r="I151" s="227">
        <v>0</v>
      </c>
      <c r="J151" s="225">
        <f t="shared" si="113"/>
        <v>218040</v>
      </c>
      <c r="K151" s="226">
        <f t="shared" si="104"/>
        <v>218040</v>
      </c>
      <c r="L151" s="227">
        <f t="shared" si="105"/>
        <v>0</v>
      </c>
      <c r="M151" s="225">
        <f t="shared" si="114"/>
        <v>0</v>
      </c>
      <c r="N151" s="226"/>
      <c r="O151" s="227">
        <v>0</v>
      </c>
      <c r="P151" s="225">
        <f t="shared" si="115"/>
        <v>218040</v>
      </c>
      <c r="Q151" s="226">
        <f t="shared" si="106"/>
        <v>218040</v>
      </c>
      <c r="R151" s="227">
        <f t="shared" si="107"/>
        <v>0</v>
      </c>
      <c r="S151" s="225">
        <f t="shared" si="116"/>
        <v>0</v>
      </c>
      <c r="T151" s="226"/>
      <c r="U151" s="227">
        <v>0</v>
      </c>
      <c r="V151" s="225">
        <f t="shared" si="117"/>
        <v>218040</v>
      </c>
      <c r="W151" s="226">
        <f t="shared" si="108"/>
        <v>218040</v>
      </c>
      <c r="X151" s="227">
        <f t="shared" si="109"/>
        <v>0</v>
      </c>
      <c r="Y151" s="225">
        <f t="shared" si="118"/>
        <v>0</v>
      </c>
      <c r="Z151" s="226"/>
      <c r="AA151" s="227"/>
      <c r="AB151" s="225">
        <f t="shared" si="119"/>
        <v>218040</v>
      </c>
      <c r="AC151" s="226">
        <f t="shared" si="110"/>
        <v>218040</v>
      </c>
      <c r="AD151" s="227">
        <f t="shared" si="111"/>
        <v>0</v>
      </c>
      <c r="AF151" s="46">
        <f t="shared" si="73"/>
        <v>0</v>
      </c>
      <c r="AG151" s="46"/>
    </row>
    <row r="152" spans="1:33" s="228" customFormat="1" ht="40.5" customHeight="1">
      <c r="A152" s="222"/>
      <c r="B152" s="223"/>
      <c r="C152" s="213" t="s">
        <v>122</v>
      </c>
      <c r="D152" s="229">
        <v>45900</v>
      </c>
      <c r="E152" s="230">
        <v>45900</v>
      </c>
      <c r="F152" s="231">
        <v>0</v>
      </c>
      <c r="G152" s="229">
        <f t="shared" si="112"/>
        <v>0</v>
      </c>
      <c r="H152" s="230"/>
      <c r="I152" s="231">
        <v>0</v>
      </c>
      <c r="J152" s="229">
        <f t="shared" si="113"/>
        <v>45900</v>
      </c>
      <c r="K152" s="230">
        <f t="shared" si="104"/>
        <v>45900</v>
      </c>
      <c r="L152" s="231">
        <f t="shared" si="105"/>
        <v>0</v>
      </c>
      <c r="M152" s="229">
        <f t="shared" si="114"/>
        <v>0</v>
      </c>
      <c r="N152" s="230"/>
      <c r="O152" s="231">
        <v>0</v>
      </c>
      <c r="P152" s="229">
        <f t="shared" si="115"/>
        <v>45900</v>
      </c>
      <c r="Q152" s="230">
        <f t="shared" si="106"/>
        <v>45900</v>
      </c>
      <c r="R152" s="231">
        <f t="shared" si="107"/>
        <v>0</v>
      </c>
      <c r="S152" s="229">
        <f t="shared" si="116"/>
        <v>0</v>
      </c>
      <c r="T152" s="230"/>
      <c r="U152" s="231">
        <v>0</v>
      </c>
      <c r="V152" s="229">
        <f t="shared" si="117"/>
        <v>45900</v>
      </c>
      <c r="W152" s="230">
        <f t="shared" si="108"/>
        <v>45900</v>
      </c>
      <c r="X152" s="231">
        <f t="shared" si="109"/>
        <v>0</v>
      </c>
      <c r="Y152" s="229">
        <f t="shared" si="118"/>
        <v>0</v>
      </c>
      <c r="Z152" s="230"/>
      <c r="AA152" s="231"/>
      <c r="AB152" s="229">
        <f t="shared" si="119"/>
        <v>45900</v>
      </c>
      <c r="AC152" s="230">
        <f t="shared" si="110"/>
        <v>45900</v>
      </c>
      <c r="AD152" s="231">
        <f t="shared" si="111"/>
        <v>0</v>
      </c>
      <c r="AF152" s="46">
        <f aca="true" t="shared" si="120" ref="AF152:AF216">V152-(S152+P152)</f>
        <v>0</v>
      </c>
      <c r="AG152" s="46"/>
    </row>
    <row r="153" spans="1:33" s="228" customFormat="1" ht="12.75">
      <c r="A153" s="222"/>
      <c r="B153" s="223"/>
      <c r="C153" s="232" t="s">
        <v>123</v>
      </c>
      <c r="D153" s="225">
        <v>0</v>
      </c>
      <c r="E153" s="233">
        <v>0</v>
      </c>
      <c r="F153" s="227">
        <v>0</v>
      </c>
      <c r="G153" s="225">
        <f t="shared" si="112"/>
        <v>0</v>
      </c>
      <c r="H153" s="233"/>
      <c r="I153" s="227">
        <v>0</v>
      </c>
      <c r="J153" s="225">
        <f t="shared" si="113"/>
        <v>0</v>
      </c>
      <c r="K153" s="233">
        <f t="shared" si="104"/>
        <v>0</v>
      </c>
      <c r="L153" s="227">
        <f t="shared" si="105"/>
        <v>0</v>
      </c>
      <c r="M153" s="225">
        <f t="shared" si="114"/>
        <v>0</v>
      </c>
      <c r="N153" s="233"/>
      <c r="O153" s="227">
        <v>0</v>
      </c>
      <c r="P153" s="225">
        <f t="shared" si="115"/>
        <v>0</v>
      </c>
      <c r="Q153" s="233">
        <f t="shared" si="106"/>
        <v>0</v>
      </c>
      <c r="R153" s="227">
        <f t="shared" si="107"/>
        <v>0</v>
      </c>
      <c r="S153" s="225">
        <f t="shared" si="116"/>
        <v>0</v>
      </c>
      <c r="T153" s="233"/>
      <c r="U153" s="227">
        <v>0</v>
      </c>
      <c r="V153" s="225">
        <f t="shared" si="117"/>
        <v>0</v>
      </c>
      <c r="W153" s="233">
        <f t="shared" si="108"/>
        <v>0</v>
      </c>
      <c r="X153" s="227">
        <f t="shared" si="109"/>
        <v>0</v>
      </c>
      <c r="Y153" s="225">
        <f t="shared" si="118"/>
        <v>0</v>
      </c>
      <c r="Z153" s="233"/>
      <c r="AA153" s="227"/>
      <c r="AB153" s="225">
        <f t="shared" si="119"/>
        <v>0</v>
      </c>
      <c r="AC153" s="233">
        <f t="shared" si="110"/>
        <v>0</v>
      </c>
      <c r="AD153" s="227">
        <f t="shared" si="111"/>
        <v>0</v>
      </c>
      <c r="AF153" s="46">
        <f t="shared" si="120"/>
        <v>0</v>
      </c>
      <c r="AG153" s="46"/>
    </row>
    <row r="154" spans="1:33" s="228" customFormat="1" ht="13.5" thickBot="1">
      <c r="A154" s="222"/>
      <c r="B154" s="436"/>
      <c r="C154" s="437" t="s">
        <v>124</v>
      </c>
      <c r="D154" s="438">
        <v>45900</v>
      </c>
      <c r="E154" s="439">
        <v>45900</v>
      </c>
      <c r="F154" s="440">
        <v>0</v>
      </c>
      <c r="G154" s="438">
        <f t="shared" si="112"/>
        <v>0</v>
      </c>
      <c r="H154" s="439"/>
      <c r="I154" s="440">
        <v>0</v>
      </c>
      <c r="J154" s="438">
        <f t="shared" si="113"/>
        <v>45900</v>
      </c>
      <c r="K154" s="439">
        <f t="shared" si="104"/>
        <v>45900</v>
      </c>
      <c r="L154" s="440">
        <f t="shared" si="105"/>
        <v>0</v>
      </c>
      <c r="M154" s="438">
        <f t="shared" si="114"/>
        <v>0</v>
      </c>
      <c r="N154" s="439"/>
      <c r="O154" s="440">
        <v>0</v>
      </c>
      <c r="P154" s="438">
        <f t="shared" si="115"/>
        <v>45900</v>
      </c>
      <c r="Q154" s="439">
        <f t="shared" si="106"/>
        <v>45900</v>
      </c>
      <c r="R154" s="440">
        <f t="shared" si="107"/>
        <v>0</v>
      </c>
      <c r="S154" s="438">
        <f t="shared" si="116"/>
        <v>0</v>
      </c>
      <c r="T154" s="439"/>
      <c r="U154" s="440">
        <v>0</v>
      </c>
      <c r="V154" s="438">
        <f t="shared" si="117"/>
        <v>45900</v>
      </c>
      <c r="W154" s="439">
        <f t="shared" si="108"/>
        <v>45900</v>
      </c>
      <c r="X154" s="440">
        <f t="shared" si="109"/>
        <v>0</v>
      </c>
      <c r="Y154" s="438">
        <f t="shared" si="118"/>
        <v>0</v>
      </c>
      <c r="Z154" s="439"/>
      <c r="AA154" s="440"/>
      <c r="AB154" s="438">
        <f t="shared" si="119"/>
        <v>45900</v>
      </c>
      <c r="AC154" s="439">
        <f t="shared" si="110"/>
        <v>45900</v>
      </c>
      <c r="AD154" s="440">
        <f t="shared" si="111"/>
        <v>0</v>
      </c>
      <c r="AF154" s="46">
        <f t="shared" si="120"/>
        <v>0</v>
      </c>
      <c r="AG154" s="46"/>
    </row>
    <row r="155" spans="1:33" ht="12.75">
      <c r="A155" s="65"/>
      <c r="B155" s="140">
        <v>80104</v>
      </c>
      <c r="C155" s="221" t="s">
        <v>125</v>
      </c>
      <c r="D155" s="112">
        <v>90421838</v>
      </c>
      <c r="E155" s="113">
        <v>86251838</v>
      </c>
      <c r="F155" s="128">
        <v>4170000</v>
      </c>
      <c r="G155" s="112">
        <f>I155+H155</f>
        <v>0</v>
      </c>
      <c r="H155" s="113">
        <f>H156+H158+H160+H163</f>
        <v>0</v>
      </c>
      <c r="I155" s="128">
        <f>I156+I158+I160+I163</f>
        <v>0</v>
      </c>
      <c r="J155" s="112">
        <f>L155+K155</f>
        <v>90421838</v>
      </c>
      <c r="K155" s="113">
        <f t="shared" si="104"/>
        <v>86251838</v>
      </c>
      <c r="L155" s="128">
        <f t="shared" si="105"/>
        <v>4170000</v>
      </c>
      <c r="M155" s="112">
        <f>O155+N155</f>
        <v>0</v>
      </c>
      <c r="N155" s="113">
        <f>N156+N158+N160+N163</f>
        <v>0</v>
      </c>
      <c r="O155" s="128">
        <f>O156+O158+O160+O163</f>
        <v>0</v>
      </c>
      <c r="P155" s="112">
        <f>R155+Q155</f>
        <v>90421838</v>
      </c>
      <c r="Q155" s="113">
        <f t="shared" si="106"/>
        <v>86251838</v>
      </c>
      <c r="R155" s="128">
        <f t="shared" si="107"/>
        <v>4170000</v>
      </c>
      <c r="S155" s="112">
        <f>U155+T155</f>
        <v>4876005</v>
      </c>
      <c r="T155" s="113">
        <f>T156+T158+T160+T163</f>
        <v>4876005</v>
      </c>
      <c r="U155" s="128">
        <f>U156+U158+U160+U163</f>
        <v>0</v>
      </c>
      <c r="V155" s="112">
        <f>X155+W155</f>
        <v>95297843</v>
      </c>
      <c r="W155" s="113">
        <f t="shared" si="108"/>
        <v>91127843</v>
      </c>
      <c r="X155" s="128">
        <f t="shared" si="109"/>
        <v>4170000</v>
      </c>
      <c r="Y155" s="112">
        <f>AA155+Z155</f>
        <v>0</v>
      </c>
      <c r="Z155" s="113">
        <f>Z156+Z158+Z160+Z163</f>
        <v>0</v>
      </c>
      <c r="AA155" s="128">
        <f>AA156+AA158+AA160+AA163</f>
        <v>0</v>
      </c>
      <c r="AB155" s="112">
        <f>AD155+AC155</f>
        <v>95297843</v>
      </c>
      <c r="AC155" s="113">
        <f t="shared" si="110"/>
        <v>91127843</v>
      </c>
      <c r="AD155" s="128">
        <f t="shared" si="111"/>
        <v>4170000</v>
      </c>
      <c r="AF155" s="46">
        <f t="shared" si="120"/>
        <v>0</v>
      </c>
      <c r="AG155" s="46"/>
    </row>
    <row r="156" spans="1:33" ht="12.75">
      <c r="A156" s="65"/>
      <c r="B156" s="108"/>
      <c r="C156" s="236" t="s">
        <v>126</v>
      </c>
      <c r="D156" s="117">
        <v>75331182</v>
      </c>
      <c r="E156" s="118">
        <v>74661182</v>
      </c>
      <c r="F156" s="119">
        <v>670000</v>
      </c>
      <c r="G156" s="117">
        <f aca="true" t="shared" si="121" ref="G156:G194">H156+I156</f>
        <v>0</v>
      </c>
      <c r="H156" s="118"/>
      <c r="I156" s="119"/>
      <c r="J156" s="117">
        <f aca="true" t="shared" si="122" ref="J156:J194">K156+L156</f>
        <v>75331182</v>
      </c>
      <c r="K156" s="118">
        <f t="shared" si="104"/>
        <v>74661182</v>
      </c>
      <c r="L156" s="119">
        <f t="shared" si="105"/>
        <v>670000</v>
      </c>
      <c r="M156" s="117">
        <f aca="true" t="shared" si="123" ref="M156:M194">N156+O156</f>
        <v>0</v>
      </c>
      <c r="N156" s="118"/>
      <c r="O156" s="119"/>
      <c r="P156" s="117">
        <f aca="true" t="shared" si="124" ref="P156:P194">Q156+R156</f>
        <v>75331182</v>
      </c>
      <c r="Q156" s="118">
        <f t="shared" si="106"/>
        <v>74661182</v>
      </c>
      <c r="R156" s="119">
        <f t="shared" si="107"/>
        <v>670000</v>
      </c>
      <c r="S156" s="117">
        <f aca="true" t="shared" si="125" ref="S156:S194">T156+U156</f>
        <v>4535105</v>
      </c>
      <c r="T156" s="118">
        <f>4311205+190000+27400+6500</f>
        <v>4535105</v>
      </c>
      <c r="U156" s="119"/>
      <c r="V156" s="117">
        <f aca="true" t="shared" si="126" ref="V156:V194">W156+X156</f>
        <v>79866287</v>
      </c>
      <c r="W156" s="118">
        <f t="shared" si="108"/>
        <v>79196287</v>
      </c>
      <c r="X156" s="119">
        <f t="shared" si="109"/>
        <v>670000</v>
      </c>
      <c r="Y156" s="117">
        <f aca="true" t="shared" si="127" ref="Y156:Y194">Z156+AA156</f>
        <v>0</v>
      </c>
      <c r="Z156" s="118"/>
      <c r="AA156" s="119"/>
      <c r="AB156" s="117">
        <f aca="true" t="shared" si="128" ref="AB156:AB194">AC156+AD156</f>
        <v>79866287</v>
      </c>
      <c r="AC156" s="118">
        <f t="shared" si="110"/>
        <v>79196287</v>
      </c>
      <c r="AD156" s="119">
        <f t="shared" si="111"/>
        <v>670000</v>
      </c>
      <c r="AF156" s="46">
        <f t="shared" si="120"/>
        <v>0</v>
      </c>
      <c r="AG156" s="46"/>
    </row>
    <row r="157" spans="1:33" ht="12.75">
      <c r="A157" s="65"/>
      <c r="B157" s="108"/>
      <c r="C157" s="110" t="s">
        <v>39</v>
      </c>
      <c r="D157" s="123">
        <v>499560</v>
      </c>
      <c r="E157" s="124">
        <v>499560</v>
      </c>
      <c r="F157" s="237">
        <v>0</v>
      </c>
      <c r="G157" s="123">
        <f t="shared" si="121"/>
        <v>0</v>
      </c>
      <c r="H157" s="124"/>
      <c r="I157" s="237">
        <v>0</v>
      </c>
      <c r="J157" s="123">
        <f t="shared" si="122"/>
        <v>499560</v>
      </c>
      <c r="K157" s="124">
        <f t="shared" si="104"/>
        <v>499560</v>
      </c>
      <c r="L157" s="237">
        <f t="shared" si="105"/>
        <v>0</v>
      </c>
      <c r="M157" s="123">
        <f t="shared" si="123"/>
        <v>0</v>
      </c>
      <c r="N157" s="124"/>
      <c r="O157" s="237">
        <v>0</v>
      </c>
      <c r="P157" s="123">
        <f t="shared" si="124"/>
        <v>499560</v>
      </c>
      <c r="Q157" s="124">
        <f t="shared" si="106"/>
        <v>499560</v>
      </c>
      <c r="R157" s="237">
        <f t="shared" si="107"/>
        <v>0</v>
      </c>
      <c r="S157" s="123">
        <f t="shared" si="125"/>
        <v>0</v>
      </c>
      <c r="T157" s="124"/>
      <c r="U157" s="237">
        <v>0</v>
      </c>
      <c r="V157" s="123">
        <f t="shared" si="126"/>
        <v>499560</v>
      </c>
      <c r="W157" s="124">
        <f t="shared" si="108"/>
        <v>499560</v>
      </c>
      <c r="X157" s="237">
        <f t="shared" si="109"/>
        <v>0</v>
      </c>
      <c r="Y157" s="123">
        <f t="shared" si="127"/>
        <v>0</v>
      </c>
      <c r="Z157" s="124"/>
      <c r="AA157" s="237"/>
      <c r="AB157" s="123">
        <f t="shared" si="128"/>
        <v>499560</v>
      </c>
      <c r="AC157" s="124">
        <f t="shared" si="110"/>
        <v>499560</v>
      </c>
      <c r="AD157" s="237">
        <f t="shared" si="111"/>
        <v>0</v>
      </c>
      <c r="AF157" s="46">
        <f t="shared" si="120"/>
        <v>0</v>
      </c>
      <c r="AG157" s="46"/>
    </row>
    <row r="158" spans="1:33" ht="12.75">
      <c r="A158" s="65"/>
      <c r="B158" s="108"/>
      <c r="C158" s="90" t="s">
        <v>120</v>
      </c>
      <c r="D158" s="91">
        <v>11073972</v>
      </c>
      <c r="E158" s="92">
        <v>11073972</v>
      </c>
      <c r="F158" s="186">
        <v>0</v>
      </c>
      <c r="G158" s="91">
        <f t="shared" si="121"/>
        <v>0</v>
      </c>
      <c r="H158" s="92"/>
      <c r="I158" s="186">
        <v>0</v>
      </c>
      <c r="J158" s="91">
        <f t="shared" si="122"/>
        <v>11073972</v>
      </c>
      <c r="K158" s="92">
        <f t="shared" si="104"/>
        <v>11073972</v>
      </c>
      <c r="L158" s="186">
        <f t="shared" si="105"/>
        <v>0</v>
      </c>
      <c r="M158" s="91">
        <f t="shared" si="123"/>
        <v>0</v>
      </c>
      <c r="N158" s="92"/>
      <c r="O158" s="186">
        <v>0</v>
      </c>
      <c r="P158" s="91">
        <f t="shared" si="124"/>
        <v>11073972</v>
      </c>
      <c r="Q158" s="92">
        <f t="shared" si="106"/>
        <v>11073972</v>
      </c>
      <c r="R158" s="186">
        <f t="shared" si="107"/>
        <v>0</v>
      </c>
      <c r="S158" s="91">
        <f t="shared" si="125"/>
        <v>340900</v>
      </c>
      <c r="T158" s="92">
        <f>330100+10800</f>
        <v>340900</v>
      </c>
      <c r="U158" s="186">
        <v>0</v>
      </c>
      <c r="V158" s="91">
        <f t="shared" si="126"/>
        <v>11414872</v>
      </c>
      <c r="W158" s="92">
        <f t="shared" si="108"/>
        <v>11414872</v>
      </c>
      <c r="X158" s="186">
        <f t="shared" si="109"/>
        <v>0</v>
      </c>
      <c r="Y158" s="91">
        <f t="shared" si="127"/>
        <v>0</v>
      </c>
      <c r="Z158" s="92"/>
      <c r="AA158" s="186"/>
      <c r="AB158" s="91">
        <f t="shared" si="128"/>
        <v>11414872</v>
      </c>
      <c r="AC158" s="92">
        <f t="shared" si="110"/>
        <v>11414872</v>
      </c>
      <c r="AD158" s="186">
        <f t="shared" si="111"/>
        <v>0</v>
      </c>
      <c r="AF158" s="46">
        <f t="shared" si="120"/>
        <v>0</v>
      </c>
      <c r="AG158" s="46"/>
    </row>
    <row r="159" spans="1:33" s="228" customFormat="1" ht="24.75" customHeight="1">
      <c r="A159" s="65"/>
      <c r="B159" s="223"/>
      <c r="C159" s="224" t="s">
        <v>121</v>
      </c>
      <c r="D159" s="225">
        <v>1156248</v>
      </c>
      <c r="E159" s="226">
        <v>1156248</v>
      </c>
      <c r="F159" s="227">
        <v>0</v>
      </c>
      <c r="G159" s="225">
        <f t="shared" si="121"/>
        <v>0</v>
      </c>
      <c r="H159" s="226"/>
      <c r="I159" s="227">
        <v>0</v>
      </c>
      <c r="J159" s="225">
        <f t="shared" si="122"/>
        <v>1156248</v>
      </c>
      <c r="K159" s="226">
        <f t="shared" si="104"/>
        <v>1156248</v>
      </c>
      <c r="L159" s="227">
        <f t="shared" si="105"/>
        <v>0</v>
      </c>
      <c r="M159" s="225">
        <f t="shared" si="123"/>
        <v>0</v>
      </c>
      <c r="N159" s="226"/>
      <c r="O159" s="227">
        <v>0</v>
      </c>
      <c r="P159" s="225">
        <f t="shared" si="124"/>
        <v>1156248</v>
      </c>
      <c r="Q159" s="226">
        <f t="shared" si="106"/>
        <v>1156248</v>
      </c>
      <c r="R159" s="227">
        <f t="shared" si="107"/>
        <v>0</v>
      </c>
      <c r="S159" s="225">
        <f t="shared" si="125"/>
        <v>0</v>
      </c>
      <c r="T159" s="226"/>
      <c r="U159" s="227">
        <v>0</v>
      </c>
      <c r="V159" s="225">
        <f t="shared" si="126"/>
        <v>1156248</v>
      </c>
      <c r="W159" s="226">
        <f t="shared" si="108"/>
        <v>1156248</v>
      </c>
      <c r="X159" s="227">
        <f t="shared" si="109"/>
        <v>0</v>
      </c>
      <c r="Y159" s="225">
        <f t="shared" si="127"/>
        <v>0</v>
      </c>
      <c r="Z159" s="226"/>
      <c r="AA159" s="227"/>
      <c r="AB159" s="225">
        <f t="shared" si="128"/>
        <v>1156248</v>
      </c>
      <c r="AC159" s="226">
        <f t="shared" si="110"/>
        <v>1156248</v>
      </c>
      <c r="AD159" s="227">
        <f t="shared" si="111"/>
        <v>0</v>
      </c>
      <c r="AF159" s="46">
        <f t="shared" si="120"/>
        <v>0</v>
      </c>
      <c r="AG159" s="46"/>
    </row>
    <row r="160" spans="1:33" s="228" customFormat="1" ht="40.5" customHeight="1">
      <c r="A160" s="65"/>
      <c r="B160" s="223"/>
      <c r="C160" s="213" t="s">
        <v>122</v>
      </c>
      <c r="D160" s="229">
        <v>516684</v>
      </c>
      <c r="E160" s="230">
        <v>516684</v>
      </c>
      <c r="F160" s="231">
        <v>0</v>
      </c>
      <c r="G160" s="229">
        <f t="shared" si="121"/>
        <v>0</v>
      </c>
      <c r="H160" s="230"/>
      <c r="I160" s="231">
        <v>0</v>
      </c>
      <c r="J160" s="229">
        <f t="shared" si="122"/>
        <v>516684</v>
      </c>
      <c r="K160" s="230">
        <f t="shared" si="104"/>
        <v>516684</v>
      </c>
      <c r="L160" s="231">
        <f t="shared" si="105"/>
        <v>0</v>
      </c>
      <c r="M160" s="229">
        <f t="shared" si="123"/>
        <v>0</v>
      </c>
      <c r="N160" s="230"/>
      <c r="O160" s="231">
        <v>0</v>
      </c>
      <c r="P160" s="229">
        <f t="shared" si="124"/>
        <v>516684</v>
      </c>
      <c r="Q160" s="230">
        <f t="shared" si="106"/>
        <v>516684</v>
      </c>
      <c r="R160" s="231">
        <f t="shared" si="107"/>
        <v>0</v>
      </c>
      <c r="S160" s="229">
        <f t="shared" si="125"/>
        <v>0</v>
      </c>
      <c r="T160" s="230"/>
      <c r="U160" s="231">
        <v>0</v>
      </c>
      <c r="V160" s="229">
        <f t="shared" si="126"/>
        <v>516684</v>
      </c>
      <c r="W160" s="230">
        <f t="shared" si="108"/>
        <v>516684</v>
      </c>
      <c r="X160" s="231">
        <f t="shared" si="109"/>
        <v>0</v>
      </c>
      <c r="Y160" s="229">
        <f t="shared" si="127"/>
        <v>0</v>
      </c>
      <c r="Z160" s="230"/>
      <c r="AA160" s="231"/>
      <c r="AB160" s="229">
        <f t="shared" si="128"/>
        <v>516684</v>
      </c>
      <c r="AC160" s="230">
        <f t="shared" si="110"/>
        <v>516684</v>
      </c>
      <c r="AD160" s="231">
        <f t="shared" si="111"/>
        <v>0</v>
      </c>
      <c r="AF160" s="46">
        <f t="shared" si="120"/>
        <v>0</v>
      </c>
      <c r="AG160" s="46"/>
    </row>
    <row r="161" spans="1:33" s="240" customFormat="1" ht="12" customHeight="1">
      <c r="A161" s="238"/>
      <c r="B161" s="239"/>
      <c r="C161" s="232" t="s">
        <v>123</v>
      </c>
      <c r="D161" s="225">
        <v>0</v>
      </c>
      <c r="E161" s="233">
        <v>0</v>
      </c>
      <c r="F161" s="227">
        <v>0</v>
      </c>
      <c r="G161" s="225">
        <f t="shared" si="121"/>
        <v>0</v>
      </c>
      <c r="H161" s="233"/>
      <c r="I161" s="227">
        <v>0</v>
      </c>
      <c r="J161" s="225">
        <f t="shared" si="122"/>
        <v>0</v>
      </c>
      <c r="K161" s="233">
        <f t="shared" si="104"/>
        <v>0</v>
      </c>
      <c r="L161" s="227">
        <f t="shared" si="105"/>
        <v>0</v>
      </c>
      <c r="M161" s="225">
        <f t="shared" si="123"/>
        <v>0</v>
      </c>
      <c r="N161" s="233"/>
      <c r="O161" s="227">
        <v>0</v>
      </c>
      <c r="P161" s="225">
        <f t="shared" si="124"/>
        <v>0</v>
      </c>
      <c r="Q161" s="233">
        <f t="shared" si="106"/>
        <v>0</v>
      </c>
      <c r="R161" s="227">
        <f t="shared" si="107"/>
        <v>0</v>
      </c>
      <c r="S161" s="225">
        <f t="shared" si="125"/>
        <v>0</v>
      </c>
      <c r="T161" s="233"/>
      <c r="U161" s="227">
        <v>0</v>
      </c>
      <c r="V161" s="225">
        <f t="shared" si="126"/>
        <v>0</v>
      </c>
      <c r="W161" s="233">
        <f t="shared" si="108"/>
        <v>0</v>
      </c>
      <c r="X161" s="227">
        <f t="shared" si="109"/>
        <v>0</v>
      </c>
      <c r="Y161" s="225">
        <f t="shared" si="127"/>
        <v>0</v>
      </c>
      <c r="Z161" s="233"/>
      <c r="AA161" s="227"/>
      <c r="AB161" s="225">
        <f t="shared" si="128"/>
        <v>0</v>
      </c>
      <c r="AC161" s="233">
        <f t="shared" si="110"/>
        <v>0</v>
      </c>
      <c r="AD161" s="227">
        <f t="shared" si="111"/>
        <v>0</v>
      </c>
      <c r="AF161" s="46">
        <f t="shared" si="120"/>
        <v>0</v>
      </c>
      <c r="AG161" s="46"/>
    </row>
    <row r="162" spans="1:33" s="242" customFormat="1" ht="11.25" customHeight="1">
      <c r="A162" s="241"/>
      <c r="B162" s="239"/>
      <c r="C162" s="232" t="s">
        <v>124</v>
      </c>
      <c r="D162" s="225">
        <v>516684</v>
      </c>
      <c r="E162" s="233">
        <v>516684</v>
      </c>
      <c r="F162" s="227">
        <v>0</v>
      </c>
      <c r="G162" s="225">
        <f t="shared" si="121"/>
        <v>0</v>
      </c>
      <c r="H162" s="233"/>
      <c r="I162" s="227">
        <v>0</v>
      </c>
      <c r="J162" s="225">
        <f t="shared" si="122"/>
        <v>516684</v>
      </c>
      <c r="K162" s="233">
        <f t="shared" si="104"/>
        <v>516684</v>
      </c>
      <c r="L162" s="227">
        <f t="shared" si="105"/>
        <v>0</v>
      </c>
      <c r="M162" s="225">
        <f t="shared" si="123"/>
        <v>0</v>
      </c>
      <c r="N162" s="233"/>
      <c r="O162" s="227">
        <v>0</v>
      </c>
      <c r="P162" s="225">
        <f t="shared" si="124"/>
        <v>516684</v>
      </c>
      <c r="Q162" s="233">
        <f t="shared" si="106"/>
        <v>516684</v>
      </c>
      <c r="R162" s="227">
        <f t="shared" si="107"/>
        <v>0</v>
      </c>
      <c r="S162" s="225">
        <f t="shared" si="125"/>
        <v>0</v>
      </c>
      <c r="T162" s="233"/>
      <c r="U162" s="227">
        <v>0</v>
      </c>
      <c r="V162" s="225">
        <f t="shared" si="126"/>
        <v>516684</v>
      </c>
      <c r="W162" s="233">
        <f t="shared" si="108"/>
        <v>516684</v>
      </c>
      <c r="X162" s="227">
        <f t="shared" si="109"/>
        <v>0</v>
      </c>
      <c r="Y162" s="225">
        <f t="shared" si="127"/>
        <v>0</v>
      </c>
      <c r="Z162" s="233"/>
      <c r="AA162" s="227"/>
      <c r="AB162" s="225">
        <f t="shared" si="128"/>
        <v>516684</v>
      </c>
      <c r="AC162" s="233">
        <f t="shared" si="110"/>
        <v>516684</v>
      </c>
      <c r="AD162" s="227">
        <f t="shared" si="111"/>
        <v>0</v>
      </c>
      <c r="AF162" s="46">
        <f t="shared" si="120"/>
        <v>0</v>
      </c>
      <c r="AG162" s="46"/>
    </row>
    <row r="163" spans="1:33" s="249" customFormat="1" ht="14.25" customHeight="1">
      <c r="A163" s="243"/>
      <c r="B163" s="244"/>
      <c r="C163" s="245" t="s">
        <v>127</v>
      </c>
      <c r="D163" s="246">
        <v>3500000</v>
      </c>
      <c r="E163" s="247">
        <v>0</v>
      </c>
      <c r="F163" s="248">
        <v>3500000</v>
      </c>
      <c r="G163" s="246">
        <f t="shared" si="121"/>
        <v>0</v>
      </c>
      <c r="H163" s="247"/>
      <c r="I163" s="248"/>
      <c r="J163" s="246">
        <f t="shared" si="122"/>
        <v>3500000</v>
      </c>
      <c r="K163" s="247">
        <f t="shared" si="104"/>
        <v>0</v>
      </c>
      <c r="L163" s="248">
        <f t="shared" si="105"/>
        <v>3500000</v>
      </c>
      <c r="M163" s="246">
        <f t="shared" si="123"/>
        <v>0</v>
      </c>
      <c r="N163" s="247"/>
      <c r="O163" s="248"/>
      <c r="P163" s="246">
        <f t="shared" si="124"/>
        <v>3500000</v>
      </c>
      <c r="Q163" s="247">
        <f t="shared" si="106"/>
        <v>0</v>
      </c>
      <c r="R163" s="248">
        <f t="shared" si="107"/>
        <v>3500000</v>
      </c>
      <c r="S163" s="246">
        <f t="shared" si="125"/>
        <v>0</v>
      </c>
      <c r="T163" s="247"/>
      <c r="U163" s="248"/>
      <c r="V163" s="246">
        <f t="shared" si="126"/>
        <v>3500000</v>
      </c>
      <c r="W163" s="247">
        <f t="shared" si="108"/>
        <v>0</v>
      </c>
      <c r="X163" s="248">
        <f t="shared" si="109"/>
        <v>3500000</v>
      </c>
      <c r="Y163" s="246">
        <f t="shared" si="127"/>
        <v>0</v>
      </c>
      <c r="Z163" s="247"/>
      <c r="AA163" s="248"/>
      <c r="AB163" s="246">
        <f t="shared" si="128"/>
        <v>3500000</v>
      </c>
      <c r="AC163" s="247">
        <f t="shared" si="110"/>
        <v>0</v>
      </c>
      <c r="AD163" s="248">
        <f t="shared" si="111"/>
        <v>3500000</v>
      </c>
      <c r="AF163" s="46">
        <f t="shared" si="120"/>
        <v>0</v>
      </c>
      <c r="AG163" s="46"/>
    </row>
    <row r="164" spans="1:33" ht="12.75">
      <c r="A164" s="65"/>
      <c r="B164" s="106">
        <v>80105</v>
      </c>
      <c r="C164" s="83" t="s">
        <v>128</v>
      </c>
      <c r="D164" s="80">
        <v>4258433</v>
      </c>
      <c r="E164" s="81">
        <v>4258433</v>
      </c>
      <c r="F164" s="82">
        <v>0</v>
      </c>
      <c r="G164" s="80">
        <f t="shared" si="121"/>
        <v>0</v>
      </c>
      <c r="H164" s="81">
        <f>H165+H167+H169</f>
        <v>0</v>
      </c>
      <c r="I164" s="82">
        <f>I165+I167+I169</f>
        <v>0</v>
      </c>
      <c r="J164" s="80">
        <f t="shared" si="122"/>
        <v>4258433</v>
      </c>
      <c r="K164" s="81">
        <f t="shared" si="104"/>
        <v>4258433</v>
      </c>
      <c r="L164" s="82">
        <f t="shared" si="105"/>
        <v>0</v>
      </c>
      <c r="M164" s="80">
        <f t="shared" si="123"/>
        <v>0</v>
      </c>
      <c r="N164" s="81">
        <f>N165+N167+N169</f>
        <v>0</v>
      </c>
      <c r="O164" s="82">
        <f>O165+O167+O169</f>
        <v>0</v>
      </c>
      <c r="P164" s="80">
        <f t="shared" si="124"/>
        <v>4258433</v>
      </c>
      <c r="Q164" s="81">
        <f t="shared" si="106"/>
        <v>4258433</v>
      </c>
      <c r="R164" s="82">
        <f t="shared" si="107"/>
        <v>0</v>
      </c>
      <c r="S164" s="80">
        <f t="shared" si="125"/>
        <v>164461</v>
      </c>
      <c r="T164" s="81">
        <f>T165+T167+T169</f>
        <v>164461</v>
      </c>
      <c r="U164" s="82">
        <f>U165+U167+U169</f>
        <v>0</v>
      </c>
      <c r="V164" s="80">
        <f t="shared" si="126"/>
        <v>4422894</v>
      </c>
      <c r="W164" s="81">
        <f t="shared" si="108"/>
        <v>4422894</v>
      </c>
      <c r="X164" s="82">
        <f t="shared" si="109"/>
        <v>0</v>
      </c>
      <c r="Y164" s="80">
        <f t="shared" si="127"/>
        <v>-73329</v>
      </c>
      <c r="Z164" s="81">
        <f>Z165+Z167+Z169</f>
        <v>-73329</v>
      </c>
      <c r="AA164" s="82">
        <f>AA165+AA167+AA169</f>
        <v>0</v>
      </c>
      <c r="AB164" s="80">
        <f t="shared" si="128"/>
        <v>4349565</v>
      </c>
      <c r="AC164" s="81">
        <f t="shared" si="110"/>
        <v>4349565</v>
      </c>
      <c r="AD164" s="82">
        <f t="shared" si="111"/>
        <v>0</v>
      </c>
      <c r="AF164" s="46">
        <f t="shared" si="120"/>
        <v>0</v>
      </c>
      <c r="AG164" s="46"/>
    </row>
    <row r="165" spans="1:33" ht="12.75">
      <c r="A165" s="65"/>
      <c r="B165" s="108"/>
      <c r="C165" s="90" t="s">
        <v>115</v>
      </c>
      <c r="D165" s="250">
        <v>2142680</v>
      </c>
      <c r="E165" s="86">
        <v>2142680</v>
      </c>
      <c r="F165" s="161">
        <v>0</v>
      </c>
      <c r="G165" s="250">
        <f t="shared" si="121"/>
        <v>0</v>
      </c>
      <c r="H165" s="86"/>
      <c r="I165" s="161">
        <v>0</v>
      </c>
      <c r="J165" s="250">
        <f t="shared" si="122"/>
        <v>2142680</v>
      </c>
      <c r="K165" s="86">
        <f t="shared" si="104"/>
        <v>2142680</v>
      </c>
      <c r="L165" s="161">
        <f t="shared" si="105"/>
        <v>0</v>
      </c>
      <c r="M165" s="250">
        <f t="shared" si="123"/>
        <v>0</v>
      </c>
      <c r="N165" s="86"/>
      <c r="O165" s="161">
        <v>0</v>
      </c>
      <c r="P165" s="250">
        <f t="shared" si="124"/>
        <v>2142680</v>
      </c>
      <c r="Q165" s="86">
        <f t="shared" si="106"/>
        <v>2142680</v>
      </c>
      <c r="R165" s="161">
        <f t="shared" si="107"/>
        <v>0</v>
      </c>
      <c r="S165" s="250">
        <f t="shared" si="125"/>
        <v>164461</v>
      </c>
      <c r="T165" s="86">
        <v>164461</v>
      </c>
      <c r="U165" s="161">
        <v>0</v>
      </c>
      <c r="V165" s="250">
        <f t="shared" si="126"/>
        <v>2307141</v>
      </c>
      <c r="W165" s="86">
        <f t="shared" si="108"/>
        <v>2307141</v>
      </c>
      <c r="X165" s="161">
        <f t="shared" si="109"/>
        <v>0</v>
      </c>
      <c r="Y165" s="250">
        <f t="shared" si="127"/>
        <v>-73329</v>
      </c>
      <c r="Z165" s="86">
        <v>-73329</v>
      </c>
      <c r="AA165" s="161"/>
      <c r="AB165" s="250">
        <f t="shared" si="128"/>
        <v>2233812</v>
      </c>
      <c r="AC165" s="86">
        <f t="shared" si="110"/>
        <v>2233812</v>
      </c>
      <c r="AD165" s="161">
        <f t="shared" si="111"/>
        <v>0</v>
      </c>
      <c r="AF165" s="46">
        <f t="shared" si="120"/>
        <v>0</v>
      </c>
      <c r="AG165" s="46"/>
    </row>
    <row r="166" spans="1:33" ht="12.75">
      <c r="A166" s="65"/>
      <c r="B166" s="108"/>
      <c r="C166" s="110" t="s">
        <v>39</v>
      </c>
      <c r="D166" s="225">
        <v>45857</v>
      </c>
      <c r="E166" s="233">
        <v>45857</v>
      </c>
      <c r="F166" s="227">
        <v>0</v>
      </c>
      <c r="G166" s="225">
        <f t="shared" si="121"/>
        <v>0</v>
      </c>
      <c r="H166" s="233"/>
      <c r="I166" s="227">
        <v>0</v>
      </c>
      <c r="J166" s="225">
        <f t="shared" si="122"/>
        <v>45857</v>
      </c>
      <c r="K166" s="233">
        <f t="shared" si="104"/>
        <v>45857</v>
      </c>
      <c r="L166" s="227">
        <f t="shared" si="105"/>
        <v>0</v>
      </c>
      <c r="M166" s="225">
        <f t="shared" si="123"/>
        <v>0</v>
      </c>
      <c r="N166" s="233"/>
      <c r="O166" s="227">
        <v>0</v>
      </c>
      <c r="P166" s="225">
        <f t="shared" si="124"/>
        <v>45857</v>
      </c>
      <c r="Q166" s="233">
        <f t="shared" si="106"/>
        <v>45857</v>
      </c>
      <c r="R166" s="227">
        <f t="shared" si="107"/>
        <v>0</v>
      </c>
      <c r="S166" s="225">
        <f t="shared" si="125"/>
        <v>0</v>
      </c>
      <c r="T166" s="233"/>
      <c r="U166" s="227">
        <v>0</v>
      </c>
      <c r="V166" s="225">
        <f t="shared" si="126"/>
        <v>45857</v>
      </c>
      <c r="W166" s="233">
        <f t="shared" si="108"/>
        <v>45857</v>
      </c>
      <c r="X166" s="227">
        <f t="shared" si="109"/>
        <v>0</v>
      </c>
      <c r="Y166" s="225">
        <f t="shared" si="127"/>
        <v>0</v>
      </c>
      <c r="Z166" s="233"/>
      <c r="AA166" s="227"/>
      <c r="AB166" s="225">
        <f t="shared" si="128"/>
        <v>45857</v>
      </c>
      <c r="AC166" s="233">
        <f t="shared" si="110"/>
        <v>45857</v>
      </c>
      <c r="AD166" s="227">
        <f t="shared" si="111"/>
        <v>0</v>
      </c>
      <c r="AF166" s="46">
        <f t="shared" si="120"/>
        <v>0</v>
      </c>
      <c r="AG166" s="46"/>
    </row>
    <row r="167" spans="1:33" ht="12.75">
      <c r="A167" s="65"/>
      <c r="B167" s="108"/>
      <c r="C167" s="90" t="s">
        <v>117</v>
      </c>
      <c r="D167" s="117">
        <v>2115753</v>
      </c>
      <c r="E167" s="92">
        <v>2115753</v>
      </c>
      <c r="F167" s="186">
        <v>0</v>
      </c>
      <c r="G167" s="117">
        <f t="shared" si="121"/>
        <v>0</v>
      </c>
      <c r="H167" s="92"/>
      <c r="I167" s="186">
        <v>0</v>
      </c>
      <c r="J167" s="117">
        <f t="shared" si="122"/>
        <v>2115753</v>
      </c>
      <c r="K167" s="92">
        <f t="shared" si="104"/>
        <v>2115753</v>
      </c>
      <c r="L167" s="186">
        <f t="shared" si="105"/>
        <v>0</v>
      </c>
      <c r="M167" s="117">
        <f t="shared" si="123"/>
        <v>0</v>
      </c>
      <c r="N167" s="92"/>
      <c r="O167" s="186">
        <v>0</v>
      </c>
      <c r="P167" s="117">
        <f t="shared" si="124"/>
        <v>2115753</v>
      </c>
      <c r="Q167" s="92">
        <f t="shared" si="106"/>
        <v>2115753</v>
      </c>
      <c r="R167" s="186">
        <f t="shared" si="107"/>
        <v>0</v>
      </c>
      <c r="S167" s="117">
        <f t="shared" si="125"/>
        <v>0</v>
      </c>
      <c r="T167" s="92"/>
      <c r="U167" s="186">
        <v>0</v>
      </c>
      <c r="V167" s="117">
        <f t="shared" si="126"/>
        <v>2115753</v>
      </c>
      <c r="W167" s="92">
        <f t="shared" si="108"/>
        <v>2115753</v>
      </c>
      <c r="X167" s="186">
        <f t="shared" si="109"/>
        <v>0</v>
      </c>
      <c r="Y167" s="117">
        <f t="shared" si="127"/>
        <v>0</v>
      </c>
      <c r="Z167" s="92"/>
      <c r="AA167" s="186"/>
      <c r="AB167" s="117">
        <f t="shared" si="128"/>
        <v>2115753</v>
      </c>
      <c r="AC167" s="92">
        <f t="shared" si="110"/>
        <v>2115753</v>
      </c>
      <c r="AD167" s="186">
        <f t="shared" si="111"/>
        <v>0</v>
      </c>
      <c r="AF167" s="46">
        <f t="shared" si="120"/>
        <v>0</v>
      </c>
      <c r="AG167" s="46"/>
    </row>
    <row r="168" spans="1:33" s="228" customFormat="1" ht="33.75" customHeight="1">
      <c r="A168" s="222"/>
      <c r="B168" s="234"/>
      <c r="C168" s="235" t="s">
        <v>121</v>
      </c>
      <c r="D168" s="191">
        <v>154440</v>
      </c>
      <c r="E168" s="192">
        <v>154440</v>
      </c>
      <c r="F168" s="193">
        <v>0</v>
      </c>
      <c r="G168" s="191">
        <f t="shared" si="121"/>
        <v>0</v>
      </c>
      <c r="H168" s="192"/>
      <c r="I168" s="193">
        <v>0</v>
      </c>
      <c r="J168" s="191">
        <f t="shared" si="122"/>
        <v>154440</v>
      </c>
      <c r="K168" s="192">
        <f t="shared" si="104"/>
        <v>154440</v>
      </c>
      <c r="L168" s="193">
        <f t="shared" si="105"/>
        <v>0</v>
      </c>
      <c r="M168" s="191">
        <f t="shared" si="123"/>
        <v>0</v>
      </c>
      <c r="N168" s="192"/>
      <c r="O168" s="193">
        <v>0</v>
      </c>
      <c r="P168" s="191">
        <f t="shared" si="124"/>
        <v>154440</v>
      </c>
      <c r="Q168" s="192">
        <f t="shared" si="106"/>
        <v>154440</v>
      </c>
      <c r="R168" s="193">
        <f t="shared" si="107"/>
        <v>0</v>
      </c>
      <c r="S168" s="191">
        <f t="shared" si="125"/>
        <v>0</v>
      </c>
      <c r="T168" s="192"/>
      <c r="U168" s="193">
        <v>0</v>
      </c>
      <c r="V168" s="191">
        <f t="shared" si="126"/>
        <v>154440</v>
      </c>
      <c r="W168" s="192">
        <f t="shared" si="108"/>
        <v>154440</v>
      </c>
      <c r="X168" s="193">
        <f t="shared" si="109"/>
        <v>0</v>
      </c>
      <c r="Y168" s="191">
        <f t="shared" si="127"/>
        <v>0</v>
      </c>
      <c r="Z168" s="192"/>
      <c r="AA168" s="193"/>
      <c r="AB168" s="191">
        <f t="shared" si="128"/>
        <v>154440</v>
      </c>
      <c r="AC168" s="192">
        <f t="shared" si="110"/>
        <v>154440</v>
      </c>
      <c r="AD168" s="193">
        <f t="shared" si="111"/>
        <v>0</v>
      </c>
      <c r="AF168" s="46">
        <f t="shared" si="120"/>
        <v>0</v>
      </c>
      <c r="AG168" s="46"/>
    </row>
    <row r="169" spans="1:33" s="228" customFormat="1" ht="40.5" customHeight="1" hidden="1">
      <c r="A169" s="222"/>
      <c r="B169" s="223"/>
      <c r="C169" s="213" t="s">
        <v>122</v>
      </c>
      <c r="D169" s="229">
        <v>0</v>
      </c>
      <c r="E169" s="230">
        <v>0</v>
      </c>
      <c r="F169" s="231">
        <v>0</v>
      </c>
      <c r="G169" s="229">
        <f t="shared" si="121"/>
        <v>0</v>
      </c>
      <c r="H169" s="230">
        <v>0</v>
      </c>
      <c r="I169" s="231">
        <v>0</v>
      </c>
      <c r="J169" s="229">
        <f t="shared" si="122"/>
        <v>0</v>
      </c>
      <c r="K169" s="230">
        <f t="shared" si="104"/>
        <v>0</v>
      </c>
      <c r="L169" s="231">
        <f t="shared" si="105"/>
        <v>0</v>
      </c>
      <c r="M169" s="229">
        <f t="shared" si="123"/>
        <v>0</v>
      </c>
      <c r="N169" s="230">
        <v>0</v>
      </c>
      <c r="O169" s="231">
        <v>0</v>
      </c>
      <c r="P169" s="229">
        <f t="shared" si="124"/>
        <v>0</v>
      </c>
      <c r="Q169" s="230">
        <f t="shared" si="106"/>
        <v>0</v>
      </c>
      <c r="R169" s="231">
        <f t="shared" si="107"/>
        <v>0</v>
      </c>
      <c r="S169" s="229">
        <f t="shared" si="125"/>
        <v>0</v>
      </c>
      <c r="T169" s="230">
        <v>0</v>
      </c>
      <c r="U169" s="231">
        <v>0</v>
      </c>
      <c r="V169" s="229">
        <f t="shared" si="126"/>
        <v>0</v>
      </c>
      <c r="W169" s="230">
        <f t="shared" si="108"/>
        <v>0</v>
      </c>
      <c r="X169" s="231">
        <f t="shared" si="109"/>
        <v>0</v>
      </c>
      <c r="Y169" s="229">
        <f t="shared" si="127"/>
        <v>0</v>
      </c>
      <c r="Z169" s="230">
        <v>0</v>
      </c>
      <c r="AA169" s="231">
        <v>0</v>
      </c>
      <c r="AB169" s="229">
        <f t="shared" si="128"/>
        <v>0</v>
      </c>
      <c r="AC169" s="230">
        <f t="shared" si="110"/>
        <v>0</v>
      </c>
      <c r="AD169" s="231">
        <f t="shared" si="111"/>
        <v>0</v>
      </c>
      <c r="AF169" s="46">
        <f t="shared" si="120"/>
        <v>0</v>
      </c>
      <c r="AG169" s="46"/>
    </row>
    <row r="170" spans="1:33" s="240" customFormat="1" ht="11.25" customHeight="1" hidden="1">
      <c r="A170" s="238"/>
      <c r="B170" s="239"/>
      <c r="C170" s="232" t="s">
        <v>123</v>
      </c>
      <c r="D170" s="225">
        <v>0</v>
      </c>
      <c r="E170" s="233">
        <v>0</v>
      </c>
      <c r="F170" s="227">
        <v>0</v>
      </c>
      <c r="G170" s="225">
        <f t="shared" si="121"/>
        <v>0</v>
      </c>
      <c r="H170" s="233">
        <v>0</v>
      </c>
      <c r="I170" s="227">
        <v>0</v>
      </c>
      <c r="J170" s="225">
        <f t="shared" si="122"/>
        <v>0</v>
      </c>
      <c r="K170" s="233">
        <f t="shared" si="104"/>
        <v>0</v>
      </c>
      <c r="L170" s="227">
        <f t="shared" si="105"/>
        <v>0</v>
      </c>
      <c r="M170" s="225">
        <f t="shared" si="123"/>
        <v>0</v>
      </c>
      <c r="N170" s="233">
        <v>0</v>
      </c>
      <c r="O170" s="227">
        <v>0</v>
      </c>
      <c r="P170" s="225">
        <f t="shared" si="124"/>
        <v>0</v>
      </c>
      <c r="Q170" s="233">
        <f t="shared" si="106"/>
        <v>0</v>
      </c>
      <c r="R170" s="227">
        <f t="shared" si="107"/>
        <v>0</v>
      </c>
      <c r="S170" s="225">
        <f t="shared" si="125"/>
        <v>0</v>
      </c>
      <c r="T170" s="233">
        <v>0</v>
      </c>
      <c r="U170" s="227">
        <v>0</v>
      </c>
      <c r="V170" s="225">
        <f t="shared" si="126"/>
        <v>0</v>
      </c>
      <c r="W170" s="233">
        <f t="shared" si="108"/>
        <v>0</v>
      </c>
      <c r="X170" s="227">
        <f t="shared" si="109"/>
        <v>0</v>
      </c>
      <c r="Y170" s="225">
        <f t="shared" si="127"/>
        <v>0</v>
      </c>
      <c r="Z170" s="233">
        <v>0</v>
      </c>
      <c r="AA170" s="227">
        <v>0</v>
      </c>
      <c r="AB170" s="225">
        <f t="shared" si="128"/>
        <v>0</v>
      </c>
      <c r="AC170" s="233">
        <f t="shared" si="110"/>
        <v>0</v>
      </c>
      <c r="AD170" s="227">
        <f t="shared" si="111"/>
        <v>0</v>
      </c>
      <c r="AF170" s="46">
        <f t="shared" si="120"/>
        <v>0</v>
      </c>
      <c r="AG170" s="46"/>
    </row>
    <row r="171" spans="1:33" s="242" customFormat="1" ht="14.25" customHeight="1" hidden="1">
      <c r="A171" s="241"/>
      <c r="B171" s="239"/>
      <c r="C171" s="232" t="s">
        <v>124</v>
      </c>
      <c r="D171" s="225">
        <v>0</v>
      </c>
      <c r="E171" s="233">
        <v>0</v>
      </c>
      <c r="F171" s="227">
        <v>0</v>
      </c>
      <c r="G171" s="225">
        <f t="shared" si="121"/>
        <v>0</v>
      </c>
      <c r="H171" s="233">
        <v>0</v>
      </c>
      <c r="I171" s="227">
        <v>0</v>
      </c>
      <c r="J171" s="225">
        <f t="shared" si="122"/>
        <v>0</v>
      </c>
      <c r="K171" s="233">
        <f t="shared" si="104"/>
        <v>0</v>
      </c>
      <c r="L171" s="227">
        <f t="shared" si="105"/>
        <v>0</v>
      </c>
      <c r="M171" s="225">
        <f t="shared" si="123"/>
        <v>0</v>
      </c>
      <c r="N171" s="233">
        <v>0</v>
      </c>
      <c r="O171" s="227">
        <v>0</v>
      </c>
      <c r="P171" s="225">
        <f t="shared" si="124"/>
        <v>0</v>
      </c>
      <c r="Q171" s="233">
        <f t="shared" si="106"/>
        <v>0</v>
      </c>
      <c r="R171" s="227">
        <f t="shared" si="107"/>
        <v>0</v>
      </c>
      <c r="S171" s="225">
        <f t="shared" si="125"/>
        <v>0</v>
      </c>
      <c r="T171" s="233">
        <v>0</v>
      </c>
      <c r="U171" s="227">
        <v>0</v>
      </c>
      <c r="V171" s="225">
        <f t="shared" si="126"/>
        <v>0</v>
      </c>
      <c r="W171" s="233">
        <f t="shared" si="108"/>
        <v>0</v>
      </c>
      <c r="X171" s="227">
        <f t="shared" si="109"/>
        <v>0</v>
      </c>
      <c r="Y171" s="225">
        <f t="shared" si="127"/>
        <v>0</v>
      </c>
      <c r="Z171" s="233">
        <v>0</v>
      </c>
      <c r="AA171" s="227">
        <v>0</v>
      </c>
      <c r="AB171" s="225">
        <f t="shared" si="128"/>
        <v>0</v>
      </c>
      <c r="AC171" s="233">
        <f t="shared" si="110"/>
        <v>0</v>
      </c>
      <c r="AD171" s="227">
        <f t="shared" si="111"/>
        <v>0</v>
      </c>
      <c r="AF171" s="46">
        <f t="shared" si="120"/>
        <v>0</v>
      </c>
      <c r="AG171" s="46"/>
    </row>
    <row r="172" spans="1:33" ht="12.75">
      <c r="A172" s="65"/>
      <c r="B172" s="106">
        <v>80110</v>
      </c>
      <c r="C172" s="79" t="s">
        <v>324</v>
      </c>
      <c r="D172" s="80">
        <v>85399700</v>
      </c>
      <c r="E172" s="138">
        <v>82219453</v>
      </c>
      <c r="F172" s="178">
        <v>3180247</v>
      </c>
      <c r="G172" s="80">
        <f t="shared" si="121"/>
        <v>129200</v>
      </c>
      <c r="H172" s="138">
        <f>H173+H175+H176</f>
        <v>129200</v>
      </c>
      <c r="I172" s="178">
        <f>I173+I175+I176</f>
        <v>0</v>
      </c>
      <c r="J172" s="80">
        <f t="shared" si="122"/>
        <v>85528900</v>
      </c>
      <c r="K172" s="138">
        <f t="shared" si="104"/>
        <v>82348653</v>
      </c>
      <c r="L172" s="178">
        <f t="shared" si="105"/>
        <v>3180247</v>
      </c>
      <c r="M172" s="80">
        <f t="shared" si="123"/>
        <v>0</v>
      </c>
      <c r="N172" s="138">
        <f>N173+N175+N176</f>
        <v>0</v>
      </c>
      <c r="O172" s="178">
        <f>O173+O175+O176</f>
        <v>0</v>
      </c>
      <c r="P172" s="80">
        <f t="shared" si="124"/>
        <v>85528900</v>
      </c>
      <c r="Q172" s="138">
        <f t="shared" si="106"/>
        <v>82348653</v>
      </c>
      <c r="R172" s="178">
        <f t="shared" si="107"/>
        <v>3180247</v>
      </c>
      <c r="S172" s="80">
        <f t="shared" si="125"/>
        <v>6686226</v>
      </c>
      <c r="T172" s="138">
        <f>T173+T175+T176+13</f>
        <v>6736226</v>
      </c>
      <c r="U172" s="178">
        <f>U173+U175+U176</f>
        <v>-50000</v>
      </c>
      <c r="V172" s="80">
        <f t="shared" si="126"/>
        <v>92215126</v>
      </c>
      <c r="W172" s="138">
        <f t="shared" si="108"/>
        <v>89084879</v>
      </c>
      <c r="X172" s="178">
        <f t="shared" si="109"/>
        <v>3130247</v>
      </c>
      <c r="Y172" s="80">
        <f t="shared" si="127"/>
        <v>122017</v>
      </c>
      <c r="Z172" s="138">
        <f>Z173+Z175+Z176</f>
        <v>122017</v>
      </c>
      <c r="AA172" s="178">
        <f>AA173+AA175+AA176</f>
        <v>0</v>
      </c>
      <c r="AB172" s="80">
        <f t="shared" si="128"/>
        <v>92337143</v>
      </c>
      <c r="AC172" s="138">
        <f t="shared" si="110"/>
        <v>89206896</v>
      </c>
      <c r="AD172" s="178">
        <f t="shared" si="111"/>
        <v>3130247</v>
      </c>
      <c r="AF172" s="46">
        <f t="shared" si="120"/>
        <v>0</v>
      </c>
      <c r="AG172" s="46"/>
    </row>
    <row r="173" spans="1:33" ht="12.75">
      <c r="A173" s="65"/>
      <c r="B173" s="108"/>
      <c r="C173" s="90" t="s">
        <v>115</v>
      </c>
      <c r="D173" s="91">
        <v>79898980</v>
      </c>
      <c r="E173" s="251">
        <v>76718733</v>
      </c>
      <c r="F173" s="186">
        <v>3180247</v>
      </c>
      <c r="G173" s="91">
        <f t="shared" si="121"/>
        <v>129200</v>
      </c>
      <c r="H173" s="251">
        <f>H174+10000+54280</f>
        <v>129200</v>
      </c>
      <c r="I173" s="186"/>
      <c r="J173" s="91">
        <f t="shared" si="122"/>
        <v>80028180</v>
      </c>
      <c r="K173" s="251">
        <f t="shared" si="104"/>
        <v>76847933</v>
      </c>
      <c r="L173" s="186">
        <f t="shared" si="105"/>
        <v>3180247</v>
      </c>
      <c r="M173" s="91">
        <f t="shared" si="123"/>
        <v>0</v>
      </c>
      <c r="N173" s="251">
        <f>N174</f>
        <v>0</v>
      </c>
      <c r="O173" s="186"/>
      <c r="P173" s="91">
        <f t="shared" si="124"/>
        <v>80028180</v>
      </c>
      <c r="Q173" s="251">
        <f t="shared" si="106"/>
        <v>76847933</v>
      </c>
      <c r="R173" s="186">
        <f t="shared" si="107"/>
        <v>3180247</v>
      </c>
      <c r="S173" s="91">
        <f t="shared" si="125"/>
        <v>6028213</v>
      </c>
      <c r="T173" s="428">
        <f>T174+5839061+9152+63000+167000</f>
        <v>6078213</v>
      </c>
      <c r="U173" s="186">
        <f>200000-250000</f>
        <v>-50000</v>
      </c>
      <c r="V173" s="91">
        <f t="shared" si="126"/>
        <v>86056393</v>
      </c>
      <c r="W173" s="251">
        <f t="shared" si="108"/>
        <v>82926146</v>
      </c>
      <c r="X173" s="186">
        <f t="shared" si="109"/>
        <v>3130247</v>
      </c>
      <c r="Y173" s="91">
        <f t="shared" si="127"/>
        <v>122017</v>
      </c>
      <c r="Z173" s="428">
        <v>122017</v>
      </c>
      <c r="AA173" s="186"/>
      <c r="AB173" s="91">
        <f t="shared" si="128"/>
        <v>86178410</v>
      </c>
      <c r="AC173" s="251">
        <f t="shared" si="110"/>
        <v>83048163</v>
      </c>
      <c r="AD173" s="186">
        <f t="shared" si="111"/>
        <v>3130247</v>
      </c>
      <c r="AF173" s="46">
        <f t="shared" si="120"/>
        <v>0</v>
      </c>
      <c r="AG173" s="46"/>
    </row>
    <row r="174" spans="1:33" s="100" customFormat="1" ht="13.5" customHeight="1">
      <c r="A174" s="94"/>
      <c r="B174" s="109"/>
      <c r="C174" s="122" t="s">
        <v>42</v>
      </c>
      <c r="D174" s="252">
        <v>107333</v>
      </c>
      <c r="E174" s="124">
        <v>107333</v>
      </c>
      <c r="F174" s="237">
        <v>0</v>
      </c>
      <c r="G174" s="252">
        <f t="shared" si="121"/>
        <v>64920</v>
      </c>
      <c r="H174" s="124">
        <v>64920</v>
      </c>
      <c r="I174" s="237">
        <v>0</v>
      </c>
      <c r="J174" s="252">
        <f t="shared" si="122"/>
        <v>172253</v>
      </c>
      <c r="K174" s="124">
        <f t="shared" si="104"/>
        <v>172253</v>
      </c>
      <c r="L174" s="237">
        <f t="shared" si="105"/>
        <v>0</v>
      </c>
      <c r="M174" s="252">
        <f t="shared" si="123"/>
        <v>0</v>
      </c>
      <c r="N174" s="124">
        <v>0</v>
      </c>
      <c r="O174" s="237">
        <v>0</v>
      </c>
      <c r="P174" s="252">
        <f t="shared" si="124"/>
        <v>172253</v>
      </c>
      <c r="Q174" s="124">
        <f t="shared" si="106"/>
        <v>172253</v>
      </c>
      <c r="R174" s="237">
        <f t="shared" si="107"/>
        <v>0</v>
      </c>
      <c r="S174" s="252">
        <f t="shared" si="125"/>
        <v>0</v>
      </c>
      <c r="T174" s="124">
        <v>0</v>
      </c>
      <c r="U174" s="237">
        <v>0</v>
      </c>
      <c r="V174" s="252">
        <f t="shared" si="126"/>
        <v>172253</v>
      </c>
      <c r="W174" s="124">
        <f t="shared" si="108"/>
        <v>172253</v>
      </c>
      <c r="X174" s="237">
        <f t="shared" si="109"/>
        <v>0</v>
      </c>
      <c r="Y174" s="252">
        <f t="shared" si="127"/>
        <v>0</v>
      </c>
      <c r="Z174" s="124"/>
      <c r="AA174" s="237"/>
      <c r="AB174" s="252">
        <f t="shared" si="128"/>
        <v>172253</v>
      </c>
      <c r="AC174" s="124">
        <f t="shared" si="110"/>
        <v>172253</v>
      </c>
      <c r="AD174" s="237">
        <f t="shared" si="111"/>
        <v>0</v>
      </c>
      <c r="AF174" s="46">
        <f t="shared" si="120"/>
        <v>0</v>
      </c>
      <c r="AG174" s="46"/>
    </row>
    <row r="175" spans="1:33" ht="12.75">
      <c r="A175" s="65"/>
      <c r="B175" s="108"/>
      <c r="C175" s="90" t="s">
        <v>117</v>
      </c>
      <c r="D175" s="91">
        <v>5462820</v>
      </c>
      <c r="E175" s="92">
        <v>5462820</v>
      </c>
      <c r="F175" s="186">
        <v>0</v>
      </c>
      <c r="G175" s="91">
        <f t="shared" si="121"/>
        <v>0</v>
      </c>
      <c r="H175" s="92"/>
      <c r="I175" s="186">
        <v>0</v>
      </c>
      <c r="J175" s="91">
        <f t="shared" si="122"/>
        <v>5462820</v>
      </c>
      <c r="K175" s="92">
        <f t="shared" si="104"/>
        <v>5462820</v>
      </c>
      <c r="L175" s="186">
        <f t="shared" si="105"/>
        <v>0</v>
      </c>
      <c r="M175" s="91">
        <f t="shared" si="123"/>
        <v>0</v>
      </c>
      <c r="N175" s="92"/>
      <c r="O175" s="186">
        <v>0</v>
      </c>
      <c r="P175" s="91">
        <f t="shared" si="124"/>
        <v>5462820</v>
      </c>
      <c r="Q175" s="92">
        <f t="shared" si="106"/>
        <v>5462820</v>
      </c>
      <c r="R175" s="186">
        <f t="shared" si="107"/>
        <v>0</v>
      </c>
      <c r="S175" s="91">
        <f t="shared" si="125"/>
        <v>695900</v>
      </c>
      <c r="T175" s="92">
        <f>429600+266300</f>
        <v>695900</v>
      </c>
      <c r="U175" s="186">
        <v>0</v>
      </c>
      <c r="V175" s="91">
        <f t="shared" si="126"/>
        <v>6158720</v>
      </c>
      <c r="W175" s="92">
        <f t="shared" si="108"/>
        <v>6158720</v>
      </c>
      <c r="X175" s="186">
        <f t="shared" si="109"/>
        <v>0</v>
      </c>
      <c r="Y175" s="91">
        <f t="shared" si="127"/>
        <v>0</v>
      </c>
      <c r="Z175" s="92"/>
      <c r="AA175" s="186"/>
      <c r="AB175" s="91">
        <f t="shared" si="128"/>
        <v>6158720</v>
      </c>
      <c r="AC175" s="92">
        <f t="shared" si="110"/>
        <v>6158720</v>
      </c>
      <c r="AD175" s="186">
        <f t="shared" si="111"/>
        <v>0</v>
      </c>
      <c r="AF175" s="46">
        <f t="shared" si="120"/>
        <v>0</v>
      </c>
      <c r="AG175" s="46"/>
    </row>
    <row r="176" spans="1:33" s="100" customFormat="1" ht="12.75">
      <c r="A176" s="94"/>
      <c r="B176" s="126"/>
      <c r="C176" s="132" t="s">
        <v>33</v>
      </c>
      <c r="D176" s="97">
        <v>37900</v>
      </c>
      <c r="E176" s="98">
        <v>37900</v>
      </c>
      <c r="F176" s="220">
        <v>0</v>
      </c>
      <c r="G176" s="97">
        <f t="shared" si="121"/>
        <v>0</v>
      </c>
      <c r="H176" s="98"/>
      <c r="I176" s="220">
        <v>0</v>
      </c>
      <c r="J176" s="97">
        <f t="shared" si="122"/>
        <v>37900</v>
      </c>
      <c r="K176" s="98">
        <f t="shared" si="104"/>
        <v>37900</v>
      </c>
      <c r="L176" s="220">
        <f t="shared" si="105"/>
        <v>0</v>
      </c>
      <c r="M176" s="97">
        <f t="shared" si="123"/>
        <v>0</v>
      </c>
      <c r="N176" s="98"/>
      <c r="O176" s="220">
        <v>0</v>
      </c>
      <c r="P176" s="97">
        <f t="shared" si="124"/>
        <v>37900</v>
      </c>
      <c r="Q176" s="98">
        <f t="shared" si="106"/>
        <v>37900</v>
      </c>
      <c r="R176" s="220">
        <f t="shared" si="107"/>
        <v>0</v>
      </c>
      <c r="S176" s="97">
        <f t="shared" si="125"/>
        <v>-37900</v>
      </c>
      <c r="T176" s="98">
        <v>-37900</v>
      </c>
      <c r="U176" s="220">
        <v>0</v>
      </c>
      <c r="V176" s="97">
        <f t="shared" si="126"/>
        <v>0</v>
      </c>
      <c r="W176" s="98">
        <f t="shared" si="108"/>
        <v>0</v>
      </c>
      <c r="X176" s="220">
        <f t="shared" si="109"/>
        <v>0</v>
      </c>
      <c r="Y176" s="97">
        <f t="shared" si="127"/>
        <v>0</v>
      </c>
      <c r="Z176" s="98"/>
      <c r="AA176" s="220"/>
      <c r="AB176" s="97">
        <f t="shared" si="128"/>
        <v>0</v>
      </c>
      <c r="AC176" s="98">
        <f t="shared" si="110"/>
        <v>0</v>
      </c>
      <c r="AD176" s="220">
        <f t="shared" si="111"/>
        <v>0</v>
      </c>
      <c r="AF176" s="46">
        <f t="shared" si="120"/>
        <v>0</v>
      </c>
      <c r="AG176" s="46"/>
    </row>
    <row r="177" spans="1:33" ht="12.75">
      <c r="A177" s="65"/>
      <c r="B177" s="106">
        <v>80113</v>
      </c>
      <c r="C177" s="83" t="s">
        <v>129</v>
      </c>
      <c r="D177" s="80">
        <v>842054</v>
      </c>
      <c r="E177" s="81">
        <v>842054</v>
      </c>
      <c r="F177" s="190">
        <v>0</v>
      </c>
      <c r="G177" s="80">
        <f t="shared" si="121"/>
        <v>0</v>
      </c>
      <c r="H177" s="81"/>
      <c r="I177" s="190">
        <v>0</v>
      </c>
      <c r="J177" s="80">
        <f t="shared" si="122"/>
        <v>842054</v>
      </c>
      <c r="K177" s="81">
        <f t="shared" si="104"/>
        <v>842054</v>
      </c>
      <c r="L177" s="190">
        <f t="shared" si="105"/>
        <v>0</v>
      </c>
      <c r="M177" s="80">
        <f t="shared" si="123"/>
        <v>0</v>
      </c>
      <c r="N177" s="81"/>
      <c r="O177" s="190">
        <v>0</v>
      </c>
      <c r="P177" s="80">
        <f t="shared" si="124"/>
        <v>842054</v>
      </c>
      <c r="Q177" s="81">
        <f t="shared" si="106"/>
        <v>842054</v>
      </c>
      <c r="R177" s="190">
        <f t="shared" si="107"/>
        <v>0</v>
      </c>
      <c r="S177" s="80">
        <f t="shared" si="125"/>
        <v>0</v>
      </c>
      <c r="T177" s="81"/>
      <c r="U177" s="190">
        <v>0</v>
      </c>
      <c r="V177" s="80">
        <f t="shared" si="126"/>
        <v>842054</v>
      </c>
      <c r="W177" s="81">
        <f t="shared" si="108"/>
        <v>842054</v>
      </c>
      <c r="X177" s="190">
        <f t="shared" si="109"/>
        <v>0</v>
      </c>
      <c r="Y177" s="80">
        <f t="shared" si="127"/>
        <v>0</v>
      </c>
      <c r="Z177" s="81"/>
      <c r="AA177" s="190">
        <v>0</v>
      </c>
      <c r="AB177" s="80">
        <f t="shared" si="128"/>
        <v>842054</v>
      </c>
      <c r="AC177" s="81">
        <f t="shared" si="110"/>
        <v>842054</v>
      </c>
      <c r="AD177" s="190">
        <f t="shared" si="111"/>
        <v>0</v>
      </c>
      <c r="AF177" s="46">
        <f t="shared" si="120"/>
        <v>0</v>
      </c>
      <c r="AG177" s="46"/>
    </row>
    <row r="178" spans="1:33" ht="12.75">
      <c r="A178" s="65"/>
      <c r="B178" s="106">
        <v>80146</v>
      </c>
      <c r="C178" s="83" t="s">
        <v>130</v>
      </c>
      <c r="D178" s="80">
        <v>1989225</v>
      </c>
      <c r="E178" s="138">
        <v>1989225</v>
      </c>
      <c r="F178" s="139">
        <v>0</v>
      </c>
      <c r="G178" s="80">
        <f t="shared" si="121"/>
        <v>0</v>
      </c>
      <c r="H178" s="138"/>
      <c r="I178" s="139">
        <v>0</v>
      </c>
      <c r="J178" s="80">
        <f t="shared" si="122"/>
        <v>1989225</v>
      </c>
      <c r="K178" s="138">
        <f t="shared" si="104"/>
        <v>1989225</v>
      </c>
      <c r="L178" s="139">
        <f t="shared" si="105"/>
        <v>0</v>
      </c>
      <c r="M178" s="80">
        <f t="shared" si="123"/>
        <v>0</v>
      </c>
      <c r="N178" s="138"/>
      <c r="O178" s="139">
        <v>0</v>
      </c>
      <c r="P178" s="80">
        <f t="shared" si="124"/>
        <v>1989225</v>
      </c>
      <c r="Q178" s="138">
        <f t="shared" si="106"/>
        <v>1989225</v>
      </c>
      <c r="R178" s="139">
        <f t="shared" si="107"/>
        <v>0</v>
      </c>
      <c r="S178" s="80">
        <f t="shared" si="125"/>
        <v>62594</v>
      </c>
      <c r="T178" s="138">
        <f>2890+59704</f>
        <v>62594</v>
      </c>
      <c r="U178" s="139">
        <v>0</v>
      </c>
      <c r="V178" s="80">
        <f t="shared" si="126"/>
        <v>2051819</v>
      </c>
      <c r="W178" s="138">
        <f t="shared" si="108"/>
        <v>2051819</v>
      </c>
      <c r="X178" s="139">
        <f t="shared" si="109"/>
        <v>0</v>
      </c>
      <c r="Y178" s="80">
        <f t="shared" si="127"/>
        <v>0</v>
      </c>
      <c r="Z178" s="138"/>
      <c r="AA178" s="139"/>
      <c r="AB178" s="80">
        <f t="shared" si="128"/>
        <v>2051819</v>
      </c>
      <c r="AC178" s="138">
        <f t="shared" si="110"/>
        <v>2051819</v>
      </c>
      <c r="AD178" s="139">
        <f t="shared" si="111"/>
        <v>0</v>
      </c>
      <c r="AF178" s="46">
        <f t="shared" si="120"/>
        <v>0</v>
      </c>
      <c r="AG178" s="46"/>
    </row>
    <row r="179" spans="1:33" ht="12.75">
      <c r="A179" s="65"/>
      <c r="B179" s="254">
        <v>80195</v>
      </c>
      <c r="C179" s="255" t="s">
        <v>80</v>
      </c>
      <c r="D179" s="112">
        <v>5482334</v>
      </c>
      <c r="E179" s="142">
        <v>5382334</v>
      </c>
      <c r="F179" s="143">
        <v>100000</v>
      </c>
      <c r="G179" s="112">
        <f t="shared" si="121"/>
        <v>0</v>
      </c>
      <c r="H179" s="142">
        <f>H180+H182+H184+H183</f>
        <v>0</v>
      </c>
      <c r="I179" s="143">
        <f>I180+I182+I184+I183</f>
        <v>0</v>
      </c>
      <c r="J179" s="112">
        <f t="shared" si="122"/>
        <v>5482334</v>
      </c>
      <c r="K179" s="142">
        <f t="shared" si="104"/>
        <v>5382334</v>
      </c>
      <c r="L179" s="143">
        <f t="shared" si="105"/>
        <v>100000</v>
      </c>
      <c r="M179" s="112">
        <f t="shared" si="123"/>
        <v>30000</v>
      </c>
      <c r="N179" s="142">
        <f>N180+N182+N184+N183</f>
        <v>30000</v>
      </c>
      <c r="O179" s="143">
        <f>O180+O182+O184+O183</f>
        <v>0</v>
      </c>
      <c r="P179" s="112">
        <f t="shared" si="124"/>
        <v>5512334</v>
      </c>
      <c r="Q179" s="142">
        <f t="shared" si="106"/>
        <v>5412334</v>
      </c>
      <c r="R179" s="143">
        <f t="shared" si="107"/>
        <v>100000</v>
      </c>
      <c r="S179" s="112">
        <f t="shared" si="125"/>
        <v>149403</v>
      </c>
      <c r="T179" s="142">
        <f>T180+T182+T184+T183+14676+70</f>
        <v>149403</v>
      </c>
      <c r="U179" s="143">
        <f>U180+U182+U184+U183</f>
        <v>0</v>
      </c>
      <c r="V179" s="112">
        <f t="shared" si="126"/>
        <v>5661737</v>
      </c>
      <c r="W179" s="142">
        <f t="shared" si="108"/>
        <v>5561737</v>
      </c>
      <c r="X179" s="143">
        <f t="shared" si="109"/>
        <v>100000</v>
      </c>
      <c r="Y179" s="112">
        <f t="shared" si="127"/>
        <v>1464864</v>
      </c>
      <c r="Z179" s="142">
        <f>Z180</f>
        <v>1464864</v>
      </c>
      <c r="AA179" s="143">
        <f>AA180+AA182+AA184+AA183</f>
        <v>0</v>
      </c>
      <c r="AB179" s="112">
        <f t="shared" si="128"/>
        <v>7126601</v>
      </c>
      <c r="AC179" s="142">
        <f t="shared" si="110"/>
        <v>7026601</v>
      </c>
      <c r="AD179" s="143">
        <f t="shared" si="111"/>
        <v>100000</v>
      </c>
      <c r="AF179" s="46">
        <f t="shared" si="120"/>
        <v>0</v>
      </c>
      <c r="AG179" s="46"/>
    </row>
    <row r="180" spans="1:33" s="120" customFormat="1" ht="12.75">
      <c r="A180" s="65"/>
      <c r="B180" s="115"/>
      <c r="C180" s="116" t="s">
        <v>131</v>
      </c>
      <c r="D180" s="117">
        <v>2693904</v>
      </c>
      <c r="E180" s="118">
        <v>2693904</v>
      </c>
      <c r="F180" s="119">
        <v>0</v>
      </c>
      <c r="G180" s="117">
        <f t="shared" si="121"/>
        <v>0</v>
      </c>
      <c r="H180" s="118"/>
      <c r="I180" s="119"/>
      <c r="J180" s="117">
        <f t="shared" si="122"/>
        <v>2693904</v>
      </c>
      <c r="K180" s="118">
        <f t="shared" si="104"/>
        <v>2693904</v>
      </c>
      <c r="L180" s="119">
        <f t="shared" si="105"/>
        <v>0</v>
      </c>
      <c r="M180" s="117">
        <f t="shared" si="123"/>
        <v>30000</v>
      </c>
      <c r="N180" s="118">
        <v>30000</v>
      </c>
      <c r="O180" s="119"/>
      <c r="P180" s="117">
        <f t="shared" si="124"/>
        <v>2723904</v>
      </c>
      <c r="Q180" s="118">
        <f t="shared" si="106"/>
        <v>2723904</v>
      </c>
      <c r="R180" s="119">
        <f t="shared" si="107"/>
        <v>0</v>
      </c>
      <c r="S180" s="117">
        <f t="shared" si="125"/>
        <v>21940</v>
      </c>
      <c r="T180" s="427">
        <f>10940+11000</f>
        <v>21940</v>
      </c>
      <c r="U180" s="119"/>
      <c r="V180" s="117">
        <f t="shared" si="126"/>
        <v>2745844</v>
      </c>
      <c r="W180" s="118">
        <f t="shared" si="108"/>
        <v>2745844</v>
      </c>
      <c r="X180" s="119">
        <f t="shared" si="109"/>
        <v>0</v>
      </c>
      <c r="Y180" s="117">
        <f t="shared" si="127"/>
        <v>1464864</v>
      </c>
      <c r="Z180" s="427">
        <f>1464864</f>
        <v>1464864</v>
      </c>
      <c r="AA180" s="119"/>
      <c r="AB180" s="117">
        <f t="shared" si="128"/>
        <v>4210708</v>
      </c>
      <c r="AC180" s="118">
        <f t="shared" si="110"/>
        <v>4210708</v>
      </c>
      <c r="AD180" s="119">
        <f t="shared" si="111"/>
        <v>0</v>
      </c>
      <c r="AF180" s="46">
        <f t="shared" si="120"/>
        <v>0</v>
      </c>
      <c r="AG180" s="46"/>
    </row>
    <row r="181" spans="1:33" s="120" customFormat="1" ht="12.75" hidden="1">
      <c r="A181" s="65"/>
      <c r="B181" s="115"/>
      <c r="C181" s="90" t="s">
        <v>117</v>
      </c>
      <c r="D181" s="117">
        <v>0</v>
      </c>
      <c r="E181" s="118">
        <v>0</v>
      </c>
      <c r="F181" s="119">
        <v>0</v>
      </c>
      <c r="G181" s="117">
        <f t="shared" si="121"/>
        <v>0</v>
      </c>
      <c r="H181" s="118"/>
      <c r="I181" s="119"/>
      <c r="J181" s="117">
        <f t="shared" si="122"/>
        <v>0</v>
      </c>
      <c r="K181" s="118">
        <f t="shared" si="104"/>
        <v>0</v>
      </c>
      <c r="L181" s="119">
        <f t="shared" si="105"/>
        <v>0</v>
      </c>
      <c r="M181" s="117">
        <f t="shared" si="123"/>
        <v>0</v>
      </c>
      <c r="N181" s="118"/>
      <c r="O181" s="119"/>
      <c r="P181" s="117">
        <f t="shared" si="124"/>
        <v>0</v>
      </c>
      <c r="Q181" s="118">
        <f t="shared" si="106"/>
        <v>0</v>
      </c>
      <c r="R181" s="119">
        <f t="shared" si="107"/>
        <v>0</v>
      </c>
      <c r="S181" s="117">
        <f t="shared" si="125"/>
        <v>0</v>
      </c>
      <c r="T181" s="118"/>
      <c r="U181" s="119"/>
      <c r="V181" s="117">
        <f t="shared" si="126"/>
        <v>0</v>
      </c>
      <c r="W181" s="118">
        <f t="shared" si="108"/>
        <v>0</v>
      </c>
      <c r="X181" s="119">
        <f t="shared" si="109"/>
        <v>0</v>
      </c>
      <c r="Y181" s="117">
        <f t="shared" si="127"/>
        <v>0</v>
      </c>
      <c r="Z181" s="118"/>
      <c r="AA181" s="119"/>
      <c r="AB181" s="117">
        <f t="shared" si="128"/>
        <v>0</v>
      </c>
      <c r="AC181" s="118">
        <f t="shared" si="110"/>
        <v>0</v>
      </c>
      <c r="AD181" s="119">
        <f t="shared" si="111"/>
        <v>0</v>
      </c>
      <c r="AF181" s="46">
        <f t="shared" si="120"/>
        <v>0</v>
      </c>
      <c r="AG181" s="46"/>
    </row>
    <row r="182" spans="1:33" s="256" customFormat="1" ht="12.75">
      <c r="A182" s="121"/>
      <c r="B182" s="115"/>
      <c r="C182" s="116" t="s">
        <v>132</v>
      </c>
      <c r="D182" s="117">
        <v>2669130</v>
      </c>
      <c r="E182" s="118">
        <v>2669130</v>
      </c>
      <c r="F182" s="119">
        <v>0</v>
      </c>
      <c r="G182" s="117">
        <f t="shared" si="121"/>
        <v>0</v>
      </c>
      <c r="H182" s="118"/>
      <c r="I182" s="119"/>
      <c r="J182" s="117">
        <f t="shared" si="122"/>
        <v>2669130</v>
      </c>
      <c r="K182" s="118">
        <f t="shared" si="104"/>
        <v>2669130</v>
      </c>
      <c r="L182" s="119">
        <f t="shared" si="105"/>
        <v>0</v>
      </c>
      <c r="M182" s="117">
        <f t="shared" si="123"/>
        <v>0</v>
      </c>
      <c r="N182" s="118"/>
      <c r="O182" s="119"/>
      <c r="P182" s="117">
        <f t="shared" si="124"/>
        <v>2669130</v>
      </c>
      <c r="Q182" s="118">
        <f t="shared" si="106"/>
        <v>2669130</v>
      </c>
      <c r="R182" s="119">
        <f t="shared" si="107"/>
        <v>0</v>
      </c>
      <c r="S182" s="117">
        <f t="shared" si="125"/>
        <v>112717</v>
      </c>
      <c r="T182" s="118">
        <v>112717</v>
      </c>
      <c r="U182" s="119"/>
      <c r="V182" s="117">
        <f t="shared" si="126"/>
        <v>2781847</v>
      </c>
      <c r="W182" s="118">
        <f t="shared" si="108"/>
        <v>2781847</v>
      </c>
      <c r="X182" s="119">
        <f t="shared" si="109"/>
        <v>0</v>
      </c>
      <c r="Y182" s="117">
        <f t="shared" si="127"/>
        <v>0</v>
      </c>
      <c r="Z182" s="118"/>
      <c r="AA182" s="119"/>
      <c r="AB182" s="117">
        <f t="shared" si="128"/>
        <v>2781847</v>
      </c>
      <c r="AC182" s="118">
        <f t="shared" si="110"/>
        <v>2781847</v>
      </c>
      <c r="AD182" s="119">
        <f t="shared" si="111"/>
        <v>0</v>
      </c>
      <c r="AF182" s="46">
        <f t="shared" si="120"/>
        <v>0</v>
      </c>
      <c r="AG182" s="46"/>
    </row>
    <row r="183" spans="1:33" s="258" customFormat="1" ht="12.75">
      <c r="A183" s="121"/>
      <c r="B183" s="115"/>
      <c r="C183" s="257" t="s">
        <v>127</v>
      </c>
      <c r="D183" s="117">
        <v>100000</v>
      </c>
      <c r="E183" s="118">
        <v>0</v>
      </c>
      <c r="F183" s="119">
        <v>100000</v>
      </c>
      <c r="G183" s="117">
        <f t="shared" si="121"/>
        <v>0</v>
      </c>
      <c r="H183" s="118"/>
      <c r="I183" s="119"/>
      <c r="J183" s="117">
        <f t="shared" si="122"/>
        <v>100000</v>
      </c>
      <c r="K183" s="118">
        <f t="shared" si="104"/>
        <v>0</v>
      </c>
      <c r="L183" s="119">
        <f t="shared" si="105"/>
        <v>100000</v>
      </c>
      <c r="M183" s="117">
        <f t="shared" si="123"/>
        <v>0</v>
      </c>
      <c r="N183" s="118"/>
      <c r="O183" s="119"/>
      <c r="P183" s="117">
        <f t="shared" si="124"/>
        <v>100000</v>
      </c>
      <c r="Q183" s="118">
        <f t="shared" si="106"/>
        <v>0</v>
      </c>
      <c r="R183" s="119">
        <f t="shared" si="107"/>
        <v>100000</v>
      </c>
      <c r="S183" s="117">
        <f t="shared" si="125"/>
        <v>0</v>
      </c>
      <c r="T183" s="118"/>
      <c r="U183" s="119"/>
      <c r="V183" s="117">
        <f t="shared" si="126"/>
        <v>100000</v>
      </c>
      <c r="W183" s="118">
        <f t="shared" si="108"/>
        <v>0</v>
      </c>
      <c r="X183" s="119">
        <f t="shared" si="109"/>
        <v>100000</v>
      </c>
      <c r="Y183" s="117">
        <f t="shared" si="127"/>
        <v>0</v>
      </c>
      <c r="Z183" s="118"/>
      <c r="AA183" s="119"/>
      <c r="AB183" s="117">
        <f t="shared" si="128"/>
        <v>100000</v>
      </c>
      <c r="AC183" s="118">
        <f t="shared" si="110"/>
        <v>0</v>
      </c>
      <c r="AD183" s="119">
        <f t="shared" si="111"/>
        <v>100000</v>
      </c>
      <c r="AF183" s="46">
        <f t="shared" si="120"/>
        <v>0</v>
      </c>
      <c r="AG183" s="46"/>
    </row>
    <row r="184" spans="1:33" s="100" customFormat="1" ht="12.75">
      <c r="A184" s="94"/>
      <c r="B184" s="126"/>
      <c r="C184" s="96" t="s">
        <v>33</v>
      </c>
      <c r="D184" s="97">
        <v>19300</v>
      </c>
      <c r="E184" s="98">
        <v>19300</v>
      </c>
      <c r="F184" s="220">
        <v>0</v>
      </c>
      <c r="G184" s="97">
        <f t="shared" si="121"/>
        <v>0</v>
      </c>
      <c r="H184" s="98"/>
      <c r="I184" s="220"/>
      <c r="J184" s="97">
        <f t="shared" si="122"/>
        <v>19300</v>
      </c>
      <c r="K184" s="98">
        <f t="shared" si="104"/>
        <v>19300</v>
      </c>
      <c r="L184" s="220">
        <f t="shared" si="105"/>
        <v>0</v>
      </c>
      <c r="M184" s="97">
        <f t="shared" si="123"/>
        <v>0</v>
      </c>
      <c r="N184" s="98"/>
      <c r="O184" s="220"/>
      <c r="P184" s="97">
        <f t="shared" si="124"/>
        <v>19300</v>
      </c>
      <c r="Q184" s="98">
        <f t="shared" si="106"/>
        <v>19300</v>
      </c>
      <c r="R184" s="220">
        <f t="shared" si="107"/>
        <v>0</v>
      </c>
      <c r="S184" s="97">
        <f t="shared" si="125"/>
        <v>0</v>
      </c>
      <c r="T184" s="98"/>
      <c r="U184" s="220"/>
      <c r="V184" s="97">
        <f t="shared" si="126"/>
        <v>19300</v>
      </c>
      <c r="W184" s="98">
        <f t="shared" si="108"/>
        <v>19300</v>
      </c>
      <c r="X184" s="220">
        <f t="shared" si="109"/>
        <v>0</v>
      </c>
      <c r="Y184" s="97">
        <f t="shared" si="127"/>
        <v>0</v>
      </c>
      <c r="Z184" s="98"/>
      <c r="AA184" s="220"/>
      <c r="AB184" s="97">
        <f t="shared" si="128"/>
        <v>19300</v>
      </c>
      <c r="AC184" s="98">
        <f t="shared" si="110"/>
        <v>19300</v>
      </c>
      <c r="AD184" s="220">
        <f t="shared" si="111"/>
        <v>0</v>
      </c>
      <c r="AF184" s="46">
        <f t="shared" si="120"/>
        <v>0</v>
      </c>
      <c r="AG184" s="46"/>
    </row>
    <row r="185" spans="1:33" ht="12" customHeight="1" hidden="1">
      <c r="A185" s="65"/>
      <c r="B185" s="136">
        <v>80197</v>
      </c>
      <c r="C185" s="137" t="s">
        <v>133</v>
      </c>
      <c r="D185" s="80">
        <v>0</v>
      </c>
      <c r="E185" s="138">
        <v>0</v>
      </c>
      <c r="F185" s="139">
        <v>0</v>
      </c>
      <c r="G185" s="80">
        <f t="shared" si="121"/>
        <v>0</v>
      </c>
      <c r="H185" s="138">
        <v>0</v>
      </c>
      <c r="I185" s="139">
        <v>0</v>
      </c>
      <c r="J185" s="80">
        <f t="shared" si="122"/>
        <v>0</v>
      </c>
      <c r="K185" s="138">
        <v>0</v>
      </c>
      <c r="L185" s="139">
        <v>0</v>
      </c>
      <c r="M185" s="80">
        <f t="shared" si="123"/>
        <v>0</v>
      </c>
      <c r="N185" s="138">
        <v>0</v>
      </c>
      <c r="O185" s="139">
        <v>0</v>
      </c>
      <c r="P185" s="80">
        <f t="shared" si="124"/>
        <v>0</v>
      </c>
      <c r="Q185" s="138">
        <v>0</v>
      </c>
      <c r="R185" s="139">
        <v>0</v>
      </c>
      <c r="S185" s="80">
        <f t="shared" si="125"/>
        <v>0</v>
      </c>
      <c r="T185" s="138">
        <v>0</v>
      </c>
      <c r="U185" s="139">
        <v>0</v>
      </c>
      <c r="V185" s="80">
        <f t="shared" si="126"/>
        <v>0</v>
      </c>
      <c r="W185" s="138">
        <v>0</v>
      </c>
      <c r="X185" s="139">
        <v>0</v>
      </c>
      <c r="Y185" s="80">
        <f t="shared" si="127"/>
        <v>0</v>
      </c>
      <c r="Z185" s="138">
        <v>0</v>
      </c>
      <c r="AA185" s="139">
        <v>0</v>
      </c>
      <c r="AB185" s="80">
        <f t="shared" si="128"/>
        <v>0</v>
      </c>
      <c r="AC185" s="138">
        <v>0</v>
      </c>
      <c r="AD185" s="139">
        <v>0</v>
      </c>
      <c r="AF185" s="46">
        <f t="shared" si="120"/>
        <v>0</v>
      </c>
      <c r="AG185" s="46"/>
    </row>
    <row r="186" spans="1:33" ht="12.75">
      <c r="A186" s="65"/>
      <c r="B186" s="133">
        <v>803</v>
      </c>
      <c r="C186" s="134" t="s">
        <v>134</v>
      </c>
      <c r="D186" s="75">
        <v>1000000</v>
      </c>
      <c r="E186" s="76">
        <v>1000000</v>
      </c>
      <c r="F186" s="158">
        <v>0</v>
      </c>
      <c r="G186" s="75">
        <f t="shared" si="121"/>
        <v>0</v>
      </c>
      <c r="H186" s="76">
        <f>H187</f>
        <v>0</v>
      </c>
      <c r="I186" s="158">
        <f>I187</f>
        <v>0</v>
      </c>
      <c r="J186" s="75">
        <f t="shared" si="122"/>
        <v>1000000</v>
      </c>
      <c r="K186" s="76">
        <f>K187</f>
        <v>1000000</v>
      </c>
      <c r="L186" s="158">
        <f>L187</f>
        <v>0</v>
      </c>
      <c r="M186" s="75">
        <f t="shared" si="123"/>
        <v>0</v>
      </c>
      <c r="N186" s="76">
        <f>N187</f>
        <v>0</v>
      </c>
      <c r="O186" s="158">
        <f>O187</f>
        <v>0</v>
      </c>
      <c r="P186" s="75">
        <f t="shared" si="124"/>
        <v>1000000</v>
      </c>
      <c r="Q186" s="76">
        <f>Q187</f>
        <v>1000000</v>
      </c>
      <c r="R186" s="158">
        <f>R187</f>
        <v>0</v>
      </c>
      <c r="S186" s="75">
        <f t="shared" si="125"/>
        <v>0</v>
      </c>
      <c r="T186" s="76">
        <f>T187</f>
        <v>0</v>
      </c>
      <c r="U186" s="158">
        <f>U187</f>
        <v>0</v>
      </c>
      <c r="V186" s="75">
        <f t="shared" si="126"/>
        <v>1000000</v>
      </c>
      <c r="W186" s="76">
        <f>W187</f>
        <v>1000000</v>
      </c>
      <c r="X186" s="158">
        <f>X187</f>
        <v>0</v>
      </c>
      <c r="Y186" s="75">
        <f t="shared" si="127"/>
        <v>0</v>
      </c>
      <c r="Z186" s="76">
        <f>Z187</f>
        <v>0</v>
      </c>
      <c r="AA186" s="158">
        <f>AA187</f>
        <v>0</v>
      </c>
      <c r="AB186" s="75">
        <f t="shared" si="128"/>
        <v>1000000</v>
      </c>
      <c r="AC186" s="76">
        <f>AC187</f>
        <v>1000000</v>
      </c>
      <c r="AD186" s="158">
        <f>AD187</f>
        <v>0</v>
      </c>
      <c r="AF186" s="46">
        <f t="shared" si="120"/>
        <v>0</v>
      </c>
      <c r="AG186" s="46"/>
    </row>
    <row r="187" spans="1:33" ht="13.5" customHeight="1">
      <c r="A187" s="65"/>
      <c r="B187" s="136">
        <v>80395</v>
      </c>
      <c r="C187" s="137" t="s">
        <v>29</v>
      </c>
      <c r="D187" s="80">
        <v>1000000</v>
      </c>
      <c r="E187" s="138">
        <v>1000000</v>
      </c>
      <c r="F187" s="139">
        <v>0</v>
      </c>
      <c r="G187" s="80">
        <f t="shared" si="121"/>
        <v>0</v>
      </c>
      <c r="H187" s="138"/>
      <c r="I187" s="139">
        <v>0</v>
      </c>
      <c r="J187" s="80">
        <f t="shared" si="122"/>
        <v>1000000</v>
      </c>
      <c r="K187" s="138">
        <f aca="true" t="shared" si="129" ref="K187:K202">E187+H187</f>
        <v>1000000</v>
      </c>
      <c r="L187" s="139">
        <f aca="true" t="shared" si="130" ref="L187:L202">I187+F187</f>
        <v>0</v>
      </c>
      <c r="M187" s="80">
        <f t="shared" si="123"/>
        <v>0</v>
      </c>
      <c r="N187" s="138"/>
      <c r="O187" s="139">
        <v>0</v>
      </c>
      <c r="P187" s="80">
        <f t="shared" si="124"/>
        <v>1000000</v>
      </c>
      <c r="Q187" s="138">
        <f aca="true" t="shared" si="131" ref="Q187:Q202">K187+N187</f>
        <v>1000000</v>
      </c>
      <c r="R187" s="139">
        <f aca="true" t="shared" si="132" ref="R187:R202">O187+L187</f>
        <v>0</v>
      </c>
      <c r="S187" s="80">
        <f t="shared" si="125"/>
        <v>0</v>
      </c>
      <c r="T187" s="138"/>
      <c r="U187" s="139">
        <v>0</v>
      </c>
      <c r="V187" s="80">
        <f t="shared" si="126"/>
        <v>1000000</v>
      </c>
      <c r="W187" s="138">
        <f aca="true" t="shared" si="133" ref="W187:W202">Q187+T187</f>
        <v>1000000</v>
      </c>
      <c r="X187" s="139">
        <f aca="true" t="shared" si="134" ref="X187:X202">U187+R187</f>
        <v>0</v>
      </c>
      <c r="Y187" s="80">
        <f t="shared" si="127"/>
        <v>0</v>
      </c>
      <c r="Z187" s="138"/>
      <c r="AA187" s="139"/>
      <c r="AB187" s="80">
        <f t="shared" si="128"/>
        <v>1000000</v>
      </c>
      <c r="AC187" s="138">
        <f aca="true" t="shared" si="135" ref="AC187:AC202">W187+Z187</f>
        <v>1000000</v>
      </c>
      <c r="AD187" s="139">
        <f aca="true" t="shared" si="136" ref="AD187:AD202">AA187+X187</f>
        <v>0</v>
      </c>
      <c r="AF187" s="46">
        <f t="shared" si="120"/>
        <v>0</v>
      </c>
      <c r="AG187" s="46"/>
    </row>
    <row r="188" spans="1:33" ht="12.75">
      <c r="A188" s="65"/>
      <c r="B188" s="133">
        <v>851</v>
      </c>
      <c r="C188" s="134" t="s">
        <v>135</v>
      </c>
      <c r="D188" s="75">
        <v>18342779</v>
      </c>
      <c r="E188" s="76">
        <v>14642779</v>
      </c>
      <c r="F188" s="158">
        <v>3700000</v>
      </c>
      <c r="G188" s="75">
        <f t="shared" si="121"/>
        <v>687500</v>
      </c>
      <c r="H188" s="76">
        <f>H189+H194+H195+H197+H191+H190+H193+H192</f>
        <v>687500</v>
      </c>
      <c r="I188" s="158">
        <f>I189+I194+I195+I197+I191+I190+I193+I192</f>
        <v>0</v>
      </c>
      <c r="J188" s="75">
        <f t="shared" si="122"/>
        <v>19030279</v>
      </c>
      <c r="K188" s="76">
        <f t="shared" si="129"/>
        <v>15330279</v>
      </c>
      <c r="L188" s="158">
        <f t="shared" si="130"/>
        <v>3700000</v>
      </c>
      <c r="M188" s="75">
        <f t="shared" si="123"/>
        <v>0</v>
      </c>
      <c r="N188" s="76">
        <f>N189+N194+N195+N197+N191+N190+N193+N192</f>
        <v>0</v>
      </c>
      <c r="O188" s="158">
        <f>O189+O194+O195+O197+O191+O190+O193+O192</f>
        <v>0</v>
      </c>
      <c r="P188" s="75">
        <f t="shared" si="124"/>
        <v>19030279</v>
      </c>
      <c r="Q188" s="76">
        <f t="shared" si="131"/>
        <v>15330279</v>
      </c>
      <c r="R188" s="158">
        <f t="shared" si="132"/>
        <v>3700000</v>
      </c>
      <c r="S188" s="75">
        <f t="shared" si="125"/>
        <v>4791607</v>
      </c>
      <c r="T188" s="76">
        <f>T189+T194+T195+T197+T191+T190+T193+T192</f>
        <v>1391607</v>
      </c>
      <c r="U188" s="158">
        <f>U189+U194+U195+U197+U191+U190+U193+U192</f>
        <v>3400000</v>
      </c>
      <c r="V188" s="75">
        <f t="shared" si="126"/>
        <v>23821886</v>
      </c>
      <c r="W188" s="76">
        <f t="shared" si="133"/>
        <v>16721886</v>
      </c>
      <c r="X188" s="158">
        <f t="shared" si="134"/>
        <v>7100000</v>
      </c>
      <c r="Y188" s="75">
        <f t="shared" si="127"/>
        <v>0</v>
      </c>
      <c r="Z188" s="76">
        <f>Z189+Z194+Z195+Z197+Z191+Z190+Z193+Z192</f>
        <v>0</v>
      </c>
      <c r="AA188" s="158">
        <f>AA189+AA194+AA195+AA197+AA191+AA190+AA193+AA192</f>
        <v>0</v>
      </c>
      <c r="AB188" s="75">
        <f t="shared" si="128"/>
        <v>23821886</v>
      </c>
      <c r="AC188" s="76">
        <f t="shared" si="135"/>
        <v>16721886</v>
      </c>
      <c r="AD188" s="158">
        <f t="shared" si="136"/>
        <v>7100000</v>
      </c>
      <c r="AF188" s="46">
        <f t="shared" si="120"/>
        <v>0</v>
      </c>
      <c r="AG188" s="46"/>
    </row>
    <row r="189" spans="1:33" ht="12.75">
      <c r="A189" s="65"/>
      <c r="B189" s="136">
        <v>85111</v>
      </c>
      <c r="C189" s="137" t="s">
        <v>136</v>
      </c>
      <c r="D189" s="80">
        <v>3244700</v>
      </c>
      <c r="E189" s="138">
        <v>84700</v>
      </c>
      <c r="F189" s="139">
        <v>3160000</v>
      </c>
      <c r="G189" s="80">
        <f t="shared" si="121"/>
        <v>0</v>
      </c>
      <c r="H189" s="138"/>
      <c r="I189" s="139"/>
      <c r="J189" s="80">
        <f t="shared" si="122"/>
        <v>3244700</v>
      </c>
      <c r="K189" s="138">
        <f t="shared" si="129"/>
        <v>84700</v>
      </c>
      <c r="L189" s="139">
        <f t="shared" si="130"/>
        <v>3160000</v>
      </c>
      <c r="M189" s="80">
        <f t="shared" si="123"/>
        <v>0</v>
      </c>
      <c r="N189" s="138"/>
      <c r="O189" s="139"/>
      <c r="P189" s="80">
        <f t="shared" si="124"/>
        <v>3244700</v>
      </c>
      <c r="Q189" s="138">
        <f t="shared" si="131"/>
        <v>84700</v>
      </c>
      <c r="R189" s="139">
        <f t="shared" si="132"/>
        <v>3160000</v>
      </c>
      <c r="S189" s="80">
        <f t="shared" si="125"/>
        <v>3400000</v>
      </c>
      <c r="T189" s="138"/>
      <c r="U189" s="139">
        <v>3400000</v>
      </c>
      <c r="V189" s="80">
        <f t="shared" si="126"/>
        <v>6644700</v>
      </c>
      <c r="W189" s="138">
        <f t="shared" si="133"/>
        <v>84700</v>
      </c>
      <c r="X189" s="139">
        <f t="shared" si="134"/>
        <v>6560000</v>
      </c>
      <c r="Y189" s="80">
        <f t="shared" si="127"/>
        <v>0</v>
      </c>
      <c r="Z189" s="138"/>
      <c r="AA189" s="139"/>
      <c r="AB189" s="80">
        <f t="shared" si="128"/>
        <v>6644700</v>
      </c>
      <c r="AC189" s="138">
        <f t="shared" si="135"/>
        <v>84700</v>
      </c>
      <c r="AD189" s="139">
        <f t="shared" si="136"/>
        <v>6560000</v>
      </c>
      <c r="AF189" s="46">
        <f t="shared" si="120"/>
        <v>0</v>
      </c>
      <c r="AG189" s="46"/>
    </row>
    <row r="190" spans="1:33" ht="12.75" customHeight="1">
      <c r="A190" s="65"/>
      <c r="B190" s="106">
        <v>85117</v>
      </c>
      <c r="C190" s="83" t="s">
        <v>137</v>
      </c>
      <c r="D190" s="80">
        <v>6250</v>
      </c>
      <c r="E190" s="81">
        <v>6250</v>
      </c>
      <c r="F190" s="190">
        <v>0</v>
      </c>
      <c r="G190" s="80">
        <f t="shared" si="121"/>
        <v>0</v>
      </c>
      <c r="H190" s="81"/>
      <c r="I190" s="190">
        <v>0</v>
      </c>
      <c r="J190" s="80">
        <f t="shared" si="122"/>
        <v>6250</v>
      </c>
      <c r="K190" s="81">
        <f t="shared" si="129"/>
        <v>6250</v>
      </c>
      <c r="L190" s="190">
        <f t="shared" si="130"/>
        <v>0</v>
      </c>
      <c r="M190" s="80">
        <f t="shared" si="123"/>
        <v>0</v>
      </c>
      <c r="N190" s="81"/>
      <c r="O190" s="190">
        <v>0</v>
      </c>
      <c r="P190" s="80">
        <f t="shared" si="124"/>
        <v>6250</v>
      </c>
      <c r="Q190" s="81">
        <f t="shared" si="131"/>
        <v>6250</v>
      </c>
      <c r="R190" s="190">
        <f t="shared" si="132"/>
        <v>0</v>
      </c>
      <c r="S190" s="80">
        <f t="shared" si="125"/>
        <v>0</v>
      </c>
      <c r="T190" s="81"/>
      <c r="U190" s="190"/>
      <c r="V190" s="80">
        <f t="shared" si="126"/>
        <v>6250</v>
      </c>
      <c r="W190" s="81">
        <f t="shared" si="133"/>
        <v>6250</v>
      </c>
      <c r="X190" s="190">
        <f t="shared" si="134"/>
        <v>0</v>
      </c>
      <c r="Y190" s="80">
        <f t="shared" si="127"/>
        <v>0</v>
      </c>
      <c r="Z190" s="81"/>
      <c r="AA190" s="190"/>
      <c r="AB190" s="80">
        <f t="shared" si="128"/>
        <v>6250</v>
      </c>
      <c r="AC190" s="81">
        <f t="shared" si="135"/>
        <v>6250</v>
      </c>
      <c r="AD190" s="190">
        <f t="shared" si="136"/>
        <v>0</v>
      </c>
      <c r="AF190" s="46">
        <f t="shared" si="120"/>
        <v>0</v>
      </c>
      <c r="AG190" s="46"/>
    </row>
    <row r="191" spans="1:33" ht="12.75" customHeight="1">
      <c r="A191" s="65"/>
      <c r="B191" s="136">
        <v>85121</v>
      </c>
      <c r="C191" s="137" t="s">
        <v>138</v>
      </c>
      <c r="D191" s="80">
        <v>544450</v>
      </c>
      <c r="E191" s="138">
        <v>4450</v>
      </c>
      <c r="F191" s="139">
        <v>540000</v>
      </c>
      <c r="G191" s="80">
        <f t="shared" si="121"/>
        <v>0</v>
      </c>
      <c r="H191" s="138"/>
      <c r="I191" s="139"/>
      <c r="J191" s="80">
        <f t="shared" si="122"/>
        <v>544450</v>
      </c>
      <c r="K191" s="138">
        <f t="shared" si="129"/>
        <v>4450</v>
      </c>
      <c r="L191" s="139">
        <f t="shared" si="130"/>
        <v>540000</v>
      </c>
      <c r="M191" s="80">
        <f t="shared" si="123"/>
        <v>0</v>
      </c>
      <c r="N191" s="138"/>
      <c r="O191" s="139"/>
      <c r="P191" s="80">
        <f t="shared" si="124"/>
        <v>544450</v>
      </c>
      <c r="Q191" s="138">
        <f t="shared" si="131"/>
        <v>4450</v>
      </c>
      <c r="R191" s="139">
        <f t="shared" si="132"/>
        <v>540000</v>
      </c>
      <c r="S191" s="80">
        <f t="shared" si="125"/>
        <v>0</v>
      </c>
      <c r="T191" s="138"/>
      <c r="U191" s="139"/>
      <c r="V191" s="80">
        <f t="shared" si="126"/>
        <v>544450</v>
      </c>
      <c r="W191" s="138">
        <f t="shared" si="133"/>
        <v>4450</v>
      </c>
      <c r="X191" s="139">
        <f t="shared" si="134"/>
        <v>540000</v>
      </c>
      <c r="Y191" s="80">
        <f t="shared" si="127"/>
        <v>0</v>
      </c>
      <c r="Z191" s="138"/>
      <c r="AA191" s="139"/>
      <c r="AB191" s="80">
        <f t="shared" si="128"/>
        <v>544450</v>
      </c>
      <c r="AC191" s="138">
        <f t="shared" si="135"/>
        <v>4450</v>
      </c>
      <c r="AD191" s="139">
        <f t="shared" si="136"/>
        <v>540000</v>
      </c>
      <c r="AF191" s="46">
        <f t="shared" si="120"/>
        <v>0</v>
      </c>
      <c r="AG191" s="46"/>
    </row>
    <row r="192" spans="1:33" s="200" customFormat="1" ht="12.75" customHeight="1">
      <c r="A192" s="194"/>
      <c r="B192" s="259">
        <v>85149</v>
      </c>
      <c r="C192" s="260" t="s">
        <v>139</v>
      </c>
      <c r="D192" s="261">
        <v>3405000</v>
      </c>
      <c r="E192" s="262">
        <v>3405000</v>
      </c>
      <c r="F192" s="263">
        <v>0</v>
      </c>
      <c r="G192" s="261">
        <f t="shared" si="121"/>
        <v>600000</v>
      </c>
      <c r="H192" s="262">
        <v>600000</v>
      </c>
      <c r="I192" s="263">
        <v>0</v>
      </c>
      <c r="J192" s="261">
        <f t="shared" si="122"/>
        <v>4005000</v>
      </c>
      <c r="K192" s="262">
        <f t="shared" si="129"/>
        <v>4005000</v>
      </c>
      <c r="L192" s="263">
        <f t="shared" si="130"/>
        <v>0</v>
      </c>
      <c r="M192" s="261">
        <f t="shared" si="123"/>
        <v>0</v>
      </c>
      <c r="N192" s="262">
        <v>0</v>
      </c>
      <c r="O192" s="263">
        <v>0</v>
      </c>
      <c r="P192" s="261">
        <f t="shared" si="124"/>
        <v>4005000</v>
      </c>
      <c r="Q192" s="262">
        <f t="shared" si="131"/>
        <v>4005000</v>
      </c>
      <c r="R192" s="263">
        <f t="shared" si="132"/>
        <v>0</v>
      </c>
      <c r="S192" s="261">
        <f t="shared" si="125"/>
        <v>0</v>
      </c>
      <c r="T192" s="262">
        <v>0</v>
      </c>
      <c r="U192" s="263">
        <v>0</v>
      </c>
      <c r="V192" s="261">
        <f t="shared" si="126"/>
        <v>4005000</v>
      </c>
      <c r="W192" s="262">
        <f t="shared" si="133"/>
        <v>4005000</v>
      </c>
      <c r="X192" s="263">
        <f t="shared" si="134"/>
        <v>0</v>
      </c>
      <c r="Y192" s="261">
        <f t="shared" si="127"/>
        <v>0</v>
      </c>
      <c r="Z192" s="262"/>
      <c r="AA192" s="263"/>
      <c r="AB192" s="261">
        <f t="shared" si="128"/>
        <v>4005000</v>
      </c>
      <c r="AC192" s="262">
        <f t="shared" si="135"/>
        <v>4005000</v>
      </c>
      <c r="AD192" s="263">
        <f t="shared" si="136"/>
        <v>0</v>
      </c>
      <c r="AF192" s="46">
        <f t="shared" si="120"/>
        <v>0</v>
      </c>
      <c r="AG192" s="201"/>
    </row>
    <row r="193" spans="1:33" ht="12.75" customHeight="1">
      <c r="A193" s="65"/>
      <c r="B193" s="140">
        <v>85153</v>
      </c>
      <c r="C193" s="116" t="s">
        <v>140</v>
      </c>
      <c r="D193" s="80">
        <v>1800000</v>
      </c>
      <c r="E193" s="142">
        <v>1800000</v>
      </c>
      <c r="F193" s="119">
        <v>0</v>
      </c>
      <c r="G193" s="80">
        <f t="shared" si="121"/>
        <v>0</v>
      </c>
      <c r="H193" s="142"/>
      <c r="I193" s="119">
        <v>0</v>
      </c>
      <c r="J193" s="80">
        <f t="shared" si="122"/>
        <v>1800000</v>
      </c>
      <c r="K193" s="142">
        <f t="shared" si="129"/>
        <v>1800000</v>
      </c>
      <c r="L193" s="119">
        <f t="shared" si="130"/>
        <v>0</v>
      </c>
      <c r="M193" s="80">
        <f t="shared" si="123"/>
        <v>0</v>
      </c>
      <c r="N193" s="142"/>
      <c r="O193" s="119">
        <v>0</v>
      </c>
      <c r="P193" s="80">
        <f t="shared" si="124"/>
        <v>1800000</v>
      </c>
      <c r="Q193" s="142">
        <f t="shared" si="131"/>
        <v>1800000</v>
      </c>
      <c r="R193" s="119">
        <f t="shared" si="132"/>
        <v>0</v>
      </c>
      <c r="S193" s="80">
        <f t="shared" si="125"/>
        <v>0</v>
      </c>
      <c r="T193" s="142"/>
      <c r="U193" s="119">
        <v>0</v>
      </c>
      <c r="V193" s="80">
        <f t="shared" si="126"/>
        <v>1800000</v>
      </c>
      <c r="W193" s="142">
        <f t="shared" si="133"/>
        <v>1800000</v>
      </c>
      <c r="X193" s="119">
        <f t="shared" si="134"/>
        <v>0</v>
      </c>
      <c r="Y193" s="80">
        <f t="shared" si="127"/>
        <v>0</v>
      </c>
      <c r="Z193" s="142"/>
      <c r="AA193" s="119"/>
      <c r="AB193" s="80">
        <f t="shared" si="128"/>
        <v>1800000</v>
      </c>
      <c r="AC193" s="142">
        <f t="shared" si="135"/>
        <v>1800000</v>
      </c>
      <c r="AD193" s="119">
        <f t="shared" si="136"/>
        <v>0</v>
      </c>
      <c r="AF193" s="46">
        <f t="shared" si="120"/>
        <v>0</v>
      </c>
      <c r="AG193" s="46"/>
    </row>
    <row r="194" spans="1:33" ht="12.75">
      <c r="A194" s="65"/>
      <c r="B194" s="106">
        <v>85154</v>
      </c>
      <c r="C194" s="83" t="s">
        <v>141</v>
      </c>
      <c r="D194" s="112">
        <v>8545000</v>
      </c>
      <c r="E194" s="142">
        <v>8545000</v>
      </c>
      <c r="F194" s="139">
        <v>0</v>
      </c>
      <c r="G194" s="112">
        <f t="shared" si="121"/>
        <v>0</v>
      </c>
      <c r="H194" s="142"/>
      <c r="I194" s="139">
        <v>0</v>
      </c>
      <c r="J194" s="112">
        <f t="shared" si="122"/>
        <v>8545000</v>
      </c>
      <c r="K194" s="142">
        <f t="shared" si="129"/>
        <v>8545000</v>
      </c>
      <c r="L194" s="139">
        <f t="shared" si="130"/>
        <v>0</v>
      </c>
      <c r="M194" s="112">
        <f t="shared" si="123"/>
        <v>0</v>
      </c>
      <c r="N194" s="142"/>
      <c r="O194" s="139">
        <v>0</v>
      </c>
      <c r="P194" s="112">
        <f t="shared" si="124"/>
        <v>8545000</v>
      </c>
      <c r="Q194" s="142">
        <f t="shared" si="131"/>
        <v>8545000</v>
      </c>
      <c r="R194" s="139">
        <f t="shared" si="132"/>
        <v>0</v>
      </c>
      <c r="S194" s="112">
        <f t="shared" si="125"/>
        <v>1365864</v>
      </c>
      <c r="T194" s="142">
        <v>1365864</v>
      </c>
      <c r="U194" s="139">
        <v>0</v>
      </c>
      <c r="V194" s="112">
        <f t="shared" si="126"/>
        <v>9910864</v>
      </c>
      <c r="W194" s="142">
        <f t="shared" si="133"/>
        <v>9910864</v>
      </c>
      <c r="X194" s="139">
        <f t="shared" si="134"/>
        <v>0</v>
      </c>
      <c r="Y194" s="112">
        <f t="shared" si="127"/>
        <v>0</v>
      </c>
      <c r="Z194" s="142"/>
      <c r="AA194" s="139"/>
      <c r="AB194" s="112">
        <f t="shared" si="128"/>
        <v>9910864</v>
      </c>
      <c r="AC194" s="142">
        <f t="shared" si="135"/>
        <v>9910864</v>
      </c>
      <c r="AD194" s="139">
        <f t="shared" si="136"/>
        <v>0</v>
      </c>
      <c r="AF194" s="46">
        <f t="shared" si="120"/>
        <v>0</v>
      </c>
      <c r="AG194" s="46"/>
    </row>
    <row r="195" spans="1:33" ht="12.75">
      <c r="A195" s="65"/>
      <c r="B195" s="140">
        <v>85158</v>
      </c>
      <c r="C195" s="129" t="s">
        <v>142</v>
      </c>
      <c r="D195" s="112">
        <v>555000</v>
      </c>
      <c r="E195" s="81">
        <v>555000</v>
      </c>
      <c r="F195" s="82">
        <v>0</v>
      </c>
      <c r="G195" s="112">
        <f>SUM(G196:G196)</f>
        <v>0</v>
      </c>
      <c r="H195" s="81">
        <f>H196</f>
        <v>0</v>
      </c>
      <c r="I195" s="82">
        <v>0</v>
      </c>
      <c r="J195" s="112">
        <f>SUM(J196:J196)</f>
        <v>555000</v>
      </c>
      <c r="K195" s="81">
        <f t="shared" si="129"/>
        <v>555000</v>
      </c>
      <c r="L195" s="82">
        <f t="shared" si="130"/>
        <v>0</v>
      </c>
      <c r="M195" s="112">
        <f>SUM(M196:M196)</f>
        <v>0</v>
      </c>
      <c r="N195" s="81">
        <f>N196</f>
        <v>0</v>
      </c>
      <c r="O195" s="82">
        <v>0</v>
      </c>
      <c r="P195" s="112">
        <f>SUM(P196:P196)</f>
        <v>555000</v>
      </c>
      <c r="Q195" s="81">
        <f t="shared" si="131"/>
        <v>555000</v>
      </c>
      <c r="R195" s="82">
        <f t="shared" si="132"/>
        <v>0</v>
      </c>
      <c r="S195" s="112">
        <f>SUM(S196:S196)</f>
        <v>0</v>
      </c>
      <c r="T195" s="81">
        <f>T196</f>
        <v>0</v>
      </c>
      <c r="U195" s="82">
        <v>0</v>
      </c>
      <c r="V195" s="112">
        <f>SUM(V196:V196)</f>
        <v>555000</v>
      </c>
      <c r="W195" s="81">
        <f t="shared" si="133"/>
        <v>555000</v>
      </c>
      <c r="X195" s="82">
        <f t="shared" si="134"/>
        <v>0</v>
      </c>
      <c r="Y195" s="112">
        <f>SUM(Y196:Y196)</f>
        <v>0</v>
      </c>
      <c r="Z195" s="81">
        <f>Z196</f>
        <v>0</v>
      </c>
      <c r="AA195" s="82">
        <v>0</v>
      </c>
      <c r="AB195" s="112">
        <f>SUM(AB196:AB196)</f>
        <v>555000</v>
      </c>
      <c r="AC195" s="81">
        <f t="shared" si="135"/>
        <v>555000</v>
      </c>
      <c r="AD195" s="82">
        <f t="shared" si="136"/>
        <v>0</v>
      </c>
      <c r="AF195" s="46">
        <f t="shared" si="120"/>
        <v>0</v>
      </c>
      <c r="AG195" s="46"/>
    </row>
    <row r="196" spans="1:33" ht="12.75" customHeight="1">
      <c r="A196" s="65"/>
      <c r="B196" s="106"/>
      <c r="C196" s="83" t="s">
        <v>143</v>
      </c>
      <c r="D196" s="80">
        <v>555000</v>
      </c>
      <c r="E196" s="81">
        <v>555000</v>
      </c>
      <c r="F196" s="190">
        <v>0</v>
      </c>
      <c r="G196" s="80">
        <f aca="true" t="shared" si="137" ref="G196:G204">H196+I196</f>
        <v>0</v>
      </c>
      <c r="H196" s="81"/>
      <c r="I196" s="190">
        <v>0</v>
      </c>
      <c r="J196" s="80">
        <f aca="true" t="shared" si="138" ref="J196:J204">K196+L196</f>
        <v>555000</v>
      </c>
      <c r="K196" s="81">
        <f t="shared" si="129"/>
        <v>555000</v>
      </c>
      <c r="L196" s="190">
        <f t="shared" si="130"/>
        <v>0</v>
      </c>
      <c r="M196" s="80">
        <f aca="true" t="shared" si="139" ref="M196:M204">N196+O196</f>
        <v>0</v>
      </c>
      <c r="N196" s="81"/>
      <c r="O196" s="190">
        <v>0</v>
      </c>
      <c r="P196" s="80">
        <f aca="true" t="shared" si="140" ref="P196:P204">Q196+R196</f>
        <v>555000</v>
      </c>
      <c r="Q196" s="81">
        <f t="shared" si="131"/>
        <v>555000</v>
      </c>
      <c r="R196" s="190">
        <f t="shared" si="132"/>
        <v>0</v>
      </c>
      <c r="S196" s="80">
        <f aca="true" t="shared" si="141" ref="S196:S204">T196+U196</f>
        <v>0</v>
      </c>
      <c r="T196" s="81"/>
      <c r="U196" s="190">
        <v>0</v>
      </c>
      <c r="V196" s="80">
        <f aca="true" t="shared" si="142" ref="V196:V204">W196+X196</f>
        <v>555000</v>
      </c>
      <c r="W196" s="81">
        <f t="shared" si="133"/>
        <v>555000</v>
      </c>
      <c r="X196" s="190">
        <f t="shared" si="134"/>
        <v>0</v>
      </c>
      <c r="Y196" s="80">
        <f aca="true" t="shared" si="143" ref="Y196:Y204">Z196+AA196</f>
        <v>0</v>
      </c>
      <c r="Z196" s="81"/>
      <c r="AA196" s="190"/>
      <c r="AB196" s="80">
        <f aca="true" t="shared" si="144" ref="AB196:AB204">AC196+AD196</f>
        <v>555000</v>
      </c>
      <c r="AC196" s="81">
        <f t="shared" si="135"/>
        <v>555000</v>
      </c>
      <c r="AD196" s="190">
        <f t="shared" si="136"/>
        <v>0</v>
      </c>
      <c r="AF196" s="46">
        <f t="shared" si="120"/>
        <v>0</v>
      </c>
      <c r="AG196" s="46"/>
    </row>
    <row r="197" spans="1:33" ht="12.75">
      <c r="A197" s="65"/>
      <c r="B197" s="140">
        <v>85195</v>
      </c>
      <c r="C197" s="129" t="s">
        <v>80</v>
      </c>
      <c r="D197" s="112">
        <v>242379</v>
      </c>
      <c r="E197" s="113">
        <v>242379</v>
      </c>
      <c r="F197" s="114">
        <v>0</v>
      </c>
      <c r="G197" s="112">
        <f t="shared" si="137"/>
        <v>87500</v>
      </c>
      <c r="H197" s="113">
        <f>H198+H200+H201+H202</f>
        <v>87500</v>
      </c>
      <c r="I197" s="114">
        <f>I198+I200+I201+I202</f>
        <v>0</v>
      </c>
      <c r="J197" s="112">
        <f t="shared" si="138"/>
        <v>329879</v>
      </c>
      <c r="K197" s="113">
        <f t="shared" si="129"/>
        <v>329879</v>
      </c>
      <c r="L197" s="114">
        <f t="shared" si="130"/>
        <v>0</v>
      </c>
      <c r="M197" s="112">
        <f t="shared" si="139"/>
        <v>0</v>
      </c>
      <c r="N197" s="113">
        <f>N198+N200+N201+N202</f>
        <v>0</v>
      </c>
      <c r="O197" s="114">
        <f>O198+O200+O201+O202</f>
        <v>0</v>
      </c>
      <c r="P197" s="112">
        <f t="shared" si="140"/>
        <v>329879</v>
      </c>
      <c r="Q197" s="113">
        <f t="shared" si="131"/>
        <v>329879</v>
      </c>
      <c r="R197" s="114">
        <f t="shared" si="132"/>
        <v>0</v>
      </c>
      <c r="S197" s="112">
        <f t="shared" si="141"/>
        <v>25743</v>
      </c>
      <c r="T197" s="113">
        <f>T198+T200+T201+T202</f>
        <v>25743</v>
      </c>
      <c r="U197" s="114">
        <f>U198+U200+U201+U202</f>
        <v>0</v>
      </c>
      <c r="V197" s="112">
        <f t="shared" si="142"/>
        <v>355622</v>
      </c>
      <c r="W197" s="113">
        <f t="shared" si="133"/>
        <v>355622</v>
      </c>
      <c r="X197" s="114">
        <f t="shared" si="134"/>
        <v>0</v>
      </c>
      <c r="Y197" s="112">
        <f t="shared" si="143"/>
        <v>0</v>
      </c>
      <c r="Z197" s="113">
        <f>Z198+Z200+Z201+Z202</f>
        <v>0</v>
      </c>
      <c r="AA197" s="114">
        <f>AA198+AA200+AA201+AA202</f>
        <v>0</v>
      </c>
      <c r="AB197" s="112">
        <f t="shared" si="144"/>
        <v>355622</v>
      </c>
      <c r="AC197" s="113">
        <f t="shared" si="135"/>
        <v>355622</v>
      </c>
      <c r="AD197" s="114">
        <f t="shared" si="136"/>
        <v>0</v>
      </c>
      <c r="AF197" s="46">
        <f t="shared" si="120"/>
        <v>0</v>
      </c>
      <c r="AG197" s="46"/>
    </row>
    <row r="198" spans="1:33" ht="12.75">
      <c r="A198" s="65"/>
      <c r="B198" s="130"/>
      <c r="C198" s="85" t="s">
        <v>144</v>
      </c>
      <c r="D198" s="88">
        <v>183029</v>
      </c>
      <c r="E198" s="86">
        <v>183029</v>
      </c>
      <c r="F198" s="161">
        <v>0</v>
      </c>
      <c r="G198" s="88">
        <f t="shared" si="137"/>
        <v>87500</v>
      </c>
      <c r="H198" s="86">
        <v>87500</v>
      </c>
      <c r="I198" s="161">
        <v>0</v>
      </c>
      <c r="J198" s="88">
        <f t="shared" si="138"/>
        <v>270529</v>
      </c>
      <c r="K198" s="86">
        <f t="shared" si="129"/>
        <v>270529</v>
      </c>
      <c r="L198" s="161">
        <f t="shared" si="130"/>
        <v>0</v>
      </c>
      <c r="M198" s="88">
        <f t="shared" si="139"/>
        <v>0</v>
      </c>
      <c r="N198" s="86"/>
      <c r="O198" s="161">
        <v>0</v>
      </c>
      <c r="P198" s="88">
        <f t="shared" si="140"/>
        <v>270529</v>
      </c>
      <c r="Q198" s="86">
        <f t="shared" si="131"/>
        <v>270529</v>
      </c>
      <c r="R198" s="161">
        <f t="shared" si="132"/>
        <v>0</v>
      </c>
      <c r="S198" s="88">
        <f t="shared" si="141"/>
        <v>34743</v>
      </c>
      <c r="T198" s="86">
        <f>T199+10000</f>
        <v>34743</v>
      </c>
      <c r="U198" s="161">
        <v>0</v>
      </c>
      <c r="V198" s="88">
        <f t="shared" si="142"/>
        <v>305272</v>
      </c>
      <c r="W198" s="86">
        <f t="shared" si="133"/>
        <v>305272</v>
      </c>
      <c r="X198" s="161">
        <f t="shared" si="134"/>
        <v>0</v>
      </c>
      <c r="Y198" s="88">
        <f t="shared" si="143"/>
        <v>0</v>
      </c>
      <c r="Z198" s="86"/>
      <c r="AA198" s="161"/>
      <c r="AB198" s="88">
        <f t="shared" si="144"/>
        <v>305272</v>
      </c>
      <c r="AC198" s="86">
        <f t="shared" si="135"/>
        <v>305272</v>
      </c>
      <c r="AD198" s="161">
        <f t="shared" si="136"/>
        <v>0</v>
      </c>
      <c r="AF198" s="46">
        <f t="shared" si="120"/>
        <v>0</v>
      </c>
      <c r="AG198" s="46"/>
    </row>
    <row r="199" spans="1:33" s="100" customFormat="1" ht="12.75">
      <c r="A199" s="94"/>
      <c r="B199" s="109"/>
      <c r="C199" s="110" t="s">
        <v>42</v>
      </c>
      <c r="D199" s="252">
        <v>64029</v>
      </c>
      <c r="E199" s="264">
        <v>64029</v>
      </c>
      <c r="F199" s="237">
        <v>0</v>
      </c>
      <c r="G199" s="252">
        <f t="shared" si="137"/>
        <v>0</v>
      </c>
      <c r="H199" s="264"/>
      <c r="I199" s="237">
        <v>0</v>
      </c>
      <c r="J199" s="252">
        <f t="shared" si="138"/>
        <v>64029</v>
      </c>
      <c r="K199" s="264">
        <f t="shared" si="129"/>
        <v>64029</v>
      </c>
      <c r="L199" s="237">
        <f t="shared" si="130"/>
        <v>0</v>
      </c>
      <c r="M199" s="252">
        <f t="shared" si="139"/>
        <v>0</v>
      </c>
      <c r="N199" s="264"/>
      <c r="O199" s="237">
        <v>0</v>
      </c>
      <c r="P199" s="252">
        <f t="shared" si="140"/>
        <v>64029</v>
      </c>
      <c r="Q199" s="264">
        <f t="shared" si="131"/>
        <v>64029</v>
      </c>
      <c r="R199" s="237">
        <f t="shared" si="132"/>
        <v>0</v>
      </c>
      <c r="S199" s="252">
        <f t="shared" si="141"/>
        <v>24743</v>
      </c>
      <c r="T199" s="423">
        <f>24743</f>
        <v>24743</v>
      </c>
      <c r="U199" s="237">
        <v>0</v>
      </c>
      <c r="V199" s="252">
        <f t="shared" si="142"/>
        <v>88772</v>
      </c>
      <c r="W199" s="264">
        <f t="shared" si="133"/>
        <v>88772</v>
      </c>
      <c r="X199" s="237">
        <f t="shared" si="134"/>
        <v>0</v>
      </c>
      <c r="Y199" s="252">
        <f t="shared" si="143"/>
        <v>0</v>
      </c>
      <c r="Z199" s="423"/>
      <c r="AA199" s="237"/>
      <c r="AB199" s="252">
        <f t="shared" si="144"/>
        <v>88772</v>
      </c>
      <c r="AC199" s="264">
        <f t="shared" si="135"/>
        <v>88772</v>
      </c>
      <c r="AD199" s="237">
        <f t="shared" si="136"/>
        <v>0</v>
      </c>
      <c r="AF199" s="46">
        <f t="shared" si="120"/>
        <v>0</v>
      </c>
      <c r="AG199" s="46"/>
    </row>
    <row r="200" spans="1:33" ht="12.75">
      <c r="A200" s="65"/>
      <c r="B200" s="108"/>
      <c r="C200" s="90" t="s">
        <v>145</v>
      </c>
      <c r="D200" s="91">
        <v>50000</v>
      </c>
      <c r="E200" s="92">
        <v>50000</v>
      </c>
      <c r="F200" s="186">
        <v>0</v>
      </c>
      <c r="G200" s="91">
        <f t="shared" si="137"/>
        <v>0</v>
      </c>
      <c r="H200" s="92"/>
      <c r="I200" s="186">
        <v>0</v>
      </c>
      <c r="J200" s="91">
        <f t="shared" si="138"/>
        <v>50000</v>
      </c>
      <c r="K200" s="92">
        <f t="shared" si="129"/>
        <v>50000</v>
      </c>
      <c r="L200" s="186">
        <f t="shared" si="130"/>
        <v>0</v>
      </c>
      <c r="M200" s="91">
        <f t="shared" si="139"/>
        <v>0</v>
      </c>
      <c r="N200" s="92"/>
      <c r="O200" s="186">
        <v>0</v>
      </c>
      <c r="P200" s="91">
        <f t="shared" si="140"/>
        <v>50000</v>
      </c>
      <c r="Q200" s="92">
        <f t="shared" si="131"/>
        <v>50000</v>
      </c>
      <c r="R200" s="186">
        <f t="shared" si="132"/>
        <v>0</v>
      </c>
      <c r="S200" s="91">
        <f t="shared" si="141"/>
        <v>0</v>
      </c>
      <c r="T200" s="92"/>
      <c r="U200" s="186">
        <v>0</v>
      </c>
      <c r="V200" s="91">
        <f t="shared" si="142"/>
        <v>50000</v>
      </c>
      <c r="W200" s="92">
        <f t="shared" si="133"/>
        <v>50000</v>
      </c>
      <c r="X200" s="186">
        <f t="shared" si="134"/>
        <v>0</v>
      </c>
      <c r="Y200" s="91">
        <f t="shared" si="143"/>
        <v>0</v>
      </c>
      <c r="Z200" s="92"/>
      <c r="AA200" s="186"/>
      <c r="AB200" s="91">
        <f t="shared" si="144"/>
        <v>50000</v>
      </c>
      <c r="AC200" s="92">
        <f t="shared" si="135"/>
        <v>50000</v>
      </c>
      <c r="AD200" s="186">
        <f t="shared" si="136"/>
        <v>0</v>
      </c>
      <c r="AF200" s="46">
        <f t="shared" si="120"/>
        <v>0</v>
      </c>
      <c r="AG200" s="46"/>
    </row>
    <row r="201" spans="1:33" ht="12.75" hidden="1">
      <c r="A201" s="65"/>
      <c r="B201" s="108"/>
      <c r="C201" s="90" t="s">
        <v>146</v>
      </c>
      <c r="D201" s="91">
        <v>0</v>
      </c>
      <c r="E201" s="92">
        <v>0</v>
      </c>
      <c r="F201" s="186">
        <v>0</v>
      </c>
      <c r="G201" s="91">
        <f t="shared" si="137"/>
        <v>0</v>
      </c>
      <c r="H201" s="92"/>
      <c r="I201" s="186">
        <v>0</v>
      </c>
      <c r="J201" s="91">
        <f t="shared" si="138"/>
        <v>0</v>
      </c>
      <c r="K201" s="92">
        <f t="shared" si="129"/>
        <v>0</v>
      </c>
      <c r="L201" s="186">
        <f t="shared" si="130"/>
        <v>0</v>
      </c>
      <c r="M201" s="91">
        <f t="shared" si="139"/>
        <v>0</v>
      </c>
      <c r="N201" s="92"/>
      <c r="O201" s="186">
        <v>0</v>
      </c>
      <c r="P201" s="91">
        <f t="shared" si="140"/>
        <v>0</v>
      </c>
      <c r="Q201" s="92">
        <f t="shared" si="131"/>
        <v>0</v>
      </c>
      <c r="R201" s="186">
        <f t="shared" si="132"/>
        <v>0</v>
      </c>
      <c r="S201" s="91">
        <f t="shared" si="141"/>
        <v>0</v>
      </c>
      <c r="T201" s="92"/>
      <c r="U201" s="186">
        <v>0</v>
      </c>
      <c r="V201" s="91">
        <f t="shared" si="142"/>
        <v>0</v>
      </c>
      <c r="W201" s="92">
        <f t="shared" si="133"/>
        <v>0</v>
      </c>
      <c r="X201" s="186">
        <f t="shared" si="134"/>
        <v>0</v>
      </c>
      <c r="Y201" s="91">
        <f t="shared" si="143"/>
        <v>0</v>
      </c>
      <c r="Z201" s="92"/>
      <c r="AA201" s="186"/>
      <c r="AB201" s="91">
        <f t="shared" si="144"/>
        <v>0</v>
      </c>
      <c r="AC201" s="92">
        <f t="shared" si="135"/>
        <v>0</v>
      </c>
      <c r="AD201" s="186">
        <f t="shared" si="136"/>
        <v>0</v>
      </c>
      <c r="AF201" s="46">
        <f t="shared" si="120"/>
        <v>0</v>
      </c>
      <c r="AG201" s="46"/>
    </row>
    <row r="202" spans="1:33" s="100" customFormat="1" ht="12.75" customHeight="1" thickBot="1">
      <c r="A202" s="94"/>
      <c r="B202" s="214"/>
      <c r="C202" s="309" t="s">
        <v>33</v>
      </c>
      <c r="D202" s="310">
        <v>9350</v>
      </c>
      <c r="E202" s="311">
        <v>9350</v>
      </c>
      <c r="F202" s="441">
        <v>0</v>
      </c>
      <c r="G202" s="310">
        <f t="shared" si="137"/>
        <v>0</v>
      </c>
      <c r="H202" s="311"/>
      <c r="I202" s="441">
        <v>0</v>
      </c>
      <c r="J202" s="310">
        <f t="shared" si="138"/>
        <v>9350</v>
      </c>
      <c r="K202" s="311">
        <f t="shared" si="129"/>
        <v>9350</v>
      </c>
      <c r="L202" s="441">
        <f t="shared" si="130"/>
        <v>0</v>
      </c>
      <c r="M202" s="310">
        <f t="shared" si="139"/>
        <v>0</v>
      </c>
      <c r="N202" s="311"/>
      <c r="O202" s="441">
        <v>0</v>
      </c>
      <c r="P202" s="310">
        <f t="shared" si="140"/>
        <v>9350</v>
      </c>
      <c r="Q202" s="311">
        <f t="shared" si="131"/>
        <v>9350</v>
      </c>
      <c r="R202" s="441">
        <f t="shared" si="132"/>
        <v>0</v>
      </c>
      <c r="S202" s="310">
        <f t="shared" si="141"/>
        <v>-9000</v>
      </c>
      <c r="T202" s="311">
        <v>-9000</v>
      </c>
      <c r="U202" s="441">
        <v>0</v>
      </c>
      <c r="V202" s="310">
        <f t="shared" si="142"/>
        <v>350</v>
      </c>
      <c r="W202" s="311">
        <f t="shared" si="133"/>
        <v>350</v>
      </c>
      <c r="X202" s="441">
        <f t="shared" si="134"/>
        <v>0</v>
      </c>
      <c r="Y202" s="310">
        <f t="shared" si="143"/>
        <v>0</v>
      </c>
      <c r="Z202" s="311"/>
      <c r="AA202" s="441"/>
      <c r="AB202" s="310">
        <f t="shared" si="144"/>
        <v>350</v>
      </c>
      <c r="AC202" s="311">
        <f t="shared" si="135"/>
        <v>350</v>
      </c>
      <c r="AD202" s="441">
        <f t="shared" si="136"/>
        <v>0</v>
      </c>
      <c r="AF202" s="46">
        <f t="shared" si="120"/>
        <v>0</v>
      </c>
      <c r="AG202" s="46"/>
    </row>
    <row r="203" spans="1:33" ht="12.75">
      <c r="A203" s="65"/>
      <c r="B203" s="133">
        <v>852</v>
      </c>
      <c r="C203" s="134" t="s">
        <v>147</v>
      </c>
      <c r="D203" s="75">
        <v>93882219</v>
      </c>
      <c r="E203" s="76">
        <v>93555219</v>
      </c>
      <c r="F203" s="158">
        <v>327000</v>
      </c>
      <c r="G203" s="75">
        <f t="shared" si="137"/>
        <v>71952</v>
      </c>
      <c r="H203" s="76">
        <f>H205+H215+H217+H218+H222+H225+H210+H204+H224+H214</f>
        <v>71952</v>
      </c>
      <c r="I203" s="158">
        <f>I205+I215+I217+I218+I222+I225+I210+I204+I224+I214</f>
        <v>0</v>
      </c>
      <c r="J203" s="75">
        <f t="shared" si="138"/>
        <v>93954171</v>
      </c>
      <c r="K203" s="76">
        <f>K205+K215+K217+K218+K222+K225+K210+K204+K224+K214</f>
        <v>93627171</v>
      </c>
      <c r="L203" s="158">
        <f>L205+L215+L217+L218+L222+L225+L210+L204+L224+L214</f>
        <v>327000</v>
      </c>
      <c r="M203" s="75">
        <f t="shared" si="139"/>
        <v>207946</v>
      </c>
      <c r="N203" s="76">
        <f>N205+N215+N217+N218+N222+N225+N210+N204+N224+N214</f>
        <v>207946</v>
      </c>
      <c r="O203" s="158">
        <f>O205+O215+O217+O218+O222+O225+O210+O204+O224+O214</f>
        <v>0</v>
      </c>
      <c r="P203" s="75">
        <f t="shared" si="140"/>
        <v>94162117</v>
      </c>
      <c r="Q203" s="76">
        <f>Q205+Q215+Q217+Q218+Q222+Q225+Q210+Q204+Q224+Q214</f>
        <v>93835117</v>
      </c>
      <c r="R203" s="158">
        <f>R205+R215+R217+R218+R222+R225+R210+R204+R224+R214</f>
        <v>327000</v>
      </c>
      <c r="S203" s="75">
        <f t="shared" si="141"/>
        <v>5380334</v>
      </c>
      <c r="T203" s="76">
        <f>T205+T215+T217+T218+T222+T225+T210+T204+T224+T214</f>
        <v>5338334</v>
      </c>
      <c r="U203" s="158">
        <f>U205+U215+U217+U218+U222+U225+U210+U204+U224+U214</f>
        <v>42000</v>
      </c>
      <c r="V203" s="75">
        <f t="shared" si="142"/>
        <v>99542451</v>
      </c>
      <c r="W203" s="76">
        <f>W205+W215+W217+W218+W222+W225+W210+W204+W224+W214</f>
        <v>99173451</v>
      </c>
      <c r="X203" s="158">
        <f>X205+X215+X217+X218+X222+X225+X210+X204+X224+X214</f>
        <v>369000</v>
      </c>
      <c r="Y203" s="75">
        <f t="shared" si="143"/>
        <v>537210</v>
      </c>
      <c r="Z203" s="76">
        <f>Z205+Z215+Z217+Z218+Z222+Z225+Z210+Z204+Z224+Z214</f>
        <v>537210</v>
      </c>
      <c r="AA203" s="158">
        <f>AA205+AA215+AA217+AA218+AA222+AA225+AA210+AA204+AA224+AA214</f>
        <v>0</v>
      </c>
      <c r="AB203" s="75">
        <f t="shared" si="144"/>
        <v>100079661</v>
      </c>
      <c r="AC203" s="76">
        <f>AC205+AC215+AC217+AC218+AC222+AC225+AC210+AC204+AC224+AC214</f>
        <v>99710661</v>
      </c>
      <c r="AD203" s="158">
        <f>AD205+AD215+AD217+AD218+AD222+AD225+AD210+AD204+AD224+AD214</f>
        <v>369000</v>
      </c>
      <c r="AF203" s="46">
        <f t="shared" si="120"/>
        <v>0</v>
      </c>
      <c r="AG203" s="46"/>
    </row>
    <row r="204" spans="1:33" ht="12.75">
      <c r="A204" s="65"/>
      <c r="B204" s="106">
        <v>85202</v>
      </c>
      <c r="C204" s="83" t="s">
        <v>148</v>
      </c>
      <c r="D204" s="112">
        <v>6769498</v>
      </c>
      <c r="E204" s="142">
        <v>6769498</v>
      </c>
      <c r="F204" s="143">
        <v>0</v>
      </c>
      <c r="G204" s="112">
        <f t="shared" si="137"/>
        <v>0</v>
      </c>
      <c r="H204" s="142"/>
      <c r="I204" s="143">
        <v>0</v>
      </c>
      <c r="J204" s="112">
        <f t="shared" si="138"/>
        <v>6769498</v>
      </c>
      <c r="K204" s="142">
        <f aca="true" t="shared" si="145" ref="K204:K234">E204+H204</f>
        <v>6769498</v>
      </c>
      <c r="L204" s="143">
        <f aca="true" t="shared" si="146" ref="L204:L234">I204+F204</f>
        <v>0</v>
      </c>
      <c r="M204" s="112">
        <f t="shared" si="139"/>
        <v>0</v>
      </c>
      <c r="N204" s="142"/>
      <c r="O204" s="143">
        <v>0</v>
      </c>
      <c r="P204" s="112">
        <f t="shared" si="140"/>
        <v>6769498</v>
      </c>
      <c r="Q204" s="142">
        <f aca="true" t="shared" si="147" ref="Q204:Q234">K204+N204</f>
        <v>6769498</v>
      </c>
      <c r="R204" s="143">
        <f aca="true" t="shared" si="148" ref="R204:R234">O204+L204</f>
        <v>0</v>
      </c>
      <c r="S204" s="112">
        <f t="shared" si="141"/>
        <v>1900000</v>
      </c>
      <c r="T204" s="142">
        <v>1900000</v>
      </c>
      <c r="U204" s="143">
        <v>0</v>
      </c>
      <c r="V204" s="112">
        <f t="shared" si="142"/>
        <v>8669498</v>
      </c>
      <c r="W204" s="142">
        <f aca="true" t="shared" si="149" ref="W204:W234">Q204+T204</f>
        <v>8669498</v>
      </c>
      <c r="X204" s="143">
        <f aca="true" t="shared" si="150" ref="X204:X234">U204+R204</f>
        <v>0</v>
      </c>
      <c r="Y204" s="112">
        <f t="shared" si="143"/>
        <v>0</v>
      </c>
      <c r="Z204" s="142"/>
      <c r="AA204" s="143"/>
      <c r="AB204" s="112">
        <f t="shared" si="144"/>
        <v>8669498</v>
      </c>
      <c r="AC204" s="142">
        <f aca="true" t="shared" si="151" ref="AC204:AC215">W204+Z204</f>
        <v>8669498</v>
      </c>
      <c r="AD204" s="143">
        <f aca="true" t="shared" si="152" ref="AD204:AD215">AA204+X204</f>
        <v>0</v>
      </c>
      <c r="AF204" s="46">
        <f t="shared" si="120"/>
        <v>0</v>
      </c>
      <c r="AG204" s="46"/>
    </row>
    <row r="205" spans="1:33" ht="12.75">
      <c r="A205" s="65"/>
      <c r="B205" s="254">
        <v>85203</v>
      </c>
      <c r="C205" s="255" t="s">
        <v>149</v>
      </c>
      <c r="D205" s="142">
        <v>4234438</v>
      </c>
      <c r="E205" s="142">
        <v>4234438</v>
      </c>
      <c r="F205" s="143">
        <v>0</v>
      </c>
      <c r="G205" s="142">
        <f>G206+G209+G208</f>
        <v>0</v>
      </c>
      <c r="H205" s="142">
        <f>H206+H208+H209</f>
        <v>0</v>
      </c>
      <c r="I205" s="143">
        <f>I206+I208+I209</f>
        <v>0</v>
      </c>
      <c r="J205" s="142">
        <f>J206+J209+J208</f>
        <v>4234438</v>
      </c>
      <c r="K205" s="142">
        <f t="shared" si="145"/>
        <v>4234438</v>
      </c>
      <c r="L205" s="143">
        <f t="shared" si="146"/>
        <v>0</v>
      </c>
      <c r="M205" s="142">
        <f>M206+M209+M208</f>
        <v>0</v>
      </c>
      <c r="N205" s="142">
        <f>N206+N208+N209</f>
        <v>0</v>
      </c>
      <c r="O205" s="143">
        <f>O206+O208+O209</f>
        <v>0</v>
      </c>
      <c r="P205" s="142">
        <f>P206+P209+P208</f>
        <v>4234438</v>
      </c>
      <c r="Q205" s="142">
        <f t="shared" si="147"/>
        <v>4234438</v>
      </c>
      <c r="R205" s="143">
        <f t="shared" si="148"/>
        <v>0</v>
      </c>
      <c r="S205" s="142">
        <f>S206+S209+S208</f>
        <v>47815</v>
      </c>
      <c r="T205" s="142">
        <f>T206+T208+T209</f>
        <v>5815</v>
      </c>
      <c r="U205" s="143">
        <f>U206+U208+U209</f>
        <v>42000</v>
      </c>
      <c r="V205" s="142">
        <f>V206+V209+V208</f>
        <v>4282253</v>
      </c>
      <c r="W205" s="142">
        <f t="shared" si="149"/>
        <v>4240253</v>
      </c>
      <c r="X205" s="143">
        <f t="shared" si="150"/>
        <v>42000</v>
      </c>
      <c r="Y205" s="142">
        <f>Y206+Y209+Y208</f>
        <v>0</v>
      </c>
      <c r="Z205" s="142">
        <f>Z206+Z208+Z209</f>
        <v>0</v>
      </c>
      <c r="AA205" s="143">
        <f>AA206+AA208+AA209</f>
        <v>0</v>
      </c>
      <c r="AB205" s="142">
        <f>AB206+AB209+AB208</f>
        <v>4282253</v>
      </c>
      <c r="AC205" s="142">
        <f t="shared" si="151"/>
        <v>4240253</v>
      </c>
      <c r="AD205" s="143">
        <f t="shared" si="152"/>
        <v>42000</v>
      </c>
      <c r="AF205" s="46">
        <f t="shared" si="120"/>
        <v>0</v>
      </c>
      <c r="AG205" s="46"/>
    </row>
    <row r="206" spans="1:33" s="120" customFormat="1" ht="12.75">
      <c r="A206" s="65"/>
      <c r="B206" s="115"/>
      <c r="C206" s="116" t="s">
        <v>149</v>
      </c>
      <c r="D206" s="117">
        <v>3884438</v>
      </c>
      <c r="E206" s="118">
        <v>3884438</v>
      </c>
      <c r="F206" s="119">
        <v>0</v>
      </c>
      <c r="G206" s="117">
        <f>H206+I206</f>
        <v>0</v>
      </c>
      <c r="H206" s="118"/>
      <c r="I206" s="119">
        <v>0</v>
      </c>
      <c r="J206" s="117">
        <f>K206+L206</f>
        <v>3884438</v>
      </c>
      <c r="K206" s="118">
        <f t="shared" si="145"/>
        <v>3884438</v>
      </c>
      <c r="L206" s="119">
        <f t="shared" si="146"/>
        <v>0</v>
      </c>
      <c r="M206" s="117">
        <f>N206+O206</f>
        <v>0</v>
      </c>
      <c r="N206" s="118"/>
      <c r="O206" s="119">
        <v>0</v>
      </c>
      <c r="P206" s="117">
        <f>Q206+R206</f>
        <v>3884438</v>
      </c>
      <c r="Q206" s="118">
        <f t="shared" si="147"/>
        <v>3884438</v>
      </c>
      <c r="R206" s="119">
        <f t="shared" si="148"/>
        <v>0</v>
      </c>
      <c r="S206" s="117">
        <f>T206+U206</f>
        <v>47815</v>
      </c>
      <c r="T206" s="118">
        <f>3745+2070</f>
        <v>5815</v>
      </c>
      <c r="U206" s="119">
        <v>42000</v>
      </c>
      <c r="V206" s="117">
        <f>W206+X206</f>
        <v>3932253</v>
      </c>
      <c r="W206" s="118">
        <f t="shared" si="149"/>
        <v>3890253</v>
      </c>
      <c r="X206" s="119">
        <f t="shared" si="150"/>
        <v>42000</v>
      </c>
      <c r="Y206" s="117">
        <f>Z206+AA206</f>
        <v>0</v>
      </c>
      <c r="Z206" s="118"/>
      <c r="AA206" s="119"/>
      <c r="AB206" s="117">
        <f>AC206+AD206</f>
        <v>3932253</v>
      </c>
      <c r="AC206" s="118">
        <f t="shared" si="151"/>
        <v>3890253</v>
      </c>
      <c r="AD206" s="119">
        <f t="shared" si="152"/>
        <v>42000</v>
      </c>
      <c r="AF206" s="46">
        <f t="shared" si="120"/>
        <v>0</v>
      </c>
      <c r="AG206" s="46"/>
    </row>
    <row r="207" spans="1:33" s="269" customFormat="1" ht="12" customHeight="1" hidden="1">
      <c r="A207" s="215"/>
      <c r="B207" s="265"/>
      <c r="C207" s="266" t="s">
        <v>42</v>
      </c>
      <c r="D207" s="181">
        <v>0</v>
      </c>
      <c r="E207" s="267">
        <v>0</v>
      </c>
      <c r="F207" s="268">
        <v>0</v>
      </c>
      <c r="G207" s="181">
        <f>H207+I207</f>
        <v>0</v>
      </c>
      <c r="H207" s="267"/>
      <c r="I207" s="268">
        <v>0</v>
      </c>
      <c r="J207" s="181">
        <f>K207+L207</f>
        <v>0</v>
      </c>
      <c r="K207" s="267">
        <f t="shared" si="145"/>
        <v>0</v>
      </c>
      <c r="L207" s="268">
        <f t="shared" si="146"/>
        <v>0</v>
      </c>
      <c r="M207" s="181">
        <f>N207+O207</f>
        <v>0</v>
      </c>
      <c r="N207" s="267"/>
      <c r="O207" s="268">
        <v>0</v>
      </c>
      <c r="P207" s="181">
        <f>Q207+R207</f>
        <v>0</v>
      </c>
      <c r="Q207" s="267">
        <f t="shared" si="147"/>
        <v>0</v>
      </c>
      <c r="R207" s="268">
        <f t="shared" si="148"/>
        <v>0</v>
      </c>
      <c r="S207" s="181">
        <f>T207+U207</f>
        <v>0</v>
      </c>
      <c r="T207" s="267"/>
      <c r="U207" s="268">
        <v>0</v>
      </c>
      <c r="V207" s="181">
        <f>W207+X207</f>
        <v>0</v>
      </c>
      <c r="W207" s="267">
        <f t="shared" si="149"/>
        <v>0</v>
      </c>
      <c r="X207" s="268">
        <f t="shared" si="150"/>
        <v>0</v>
      </c>
      <c r="Y207" s="181">
        <f>Z207+AA207</f>
        <v>0</v>
      </c>
      <c r="Z207" s="267"/>
      <c r="AA207" s="268">
        <v>0</v>
      </c>
      <c r="AB207" s="181">
        <f>AC207+AD207</f>
        <v>0</v>
      </c>
      <c r="AC207" s="267">
        <f t="shared" si="151"/>
        <v>0</v>
      </c>
      <c r="AD207" s="268">
        <f t="shared" si="152"/>
        <v>0</v>
      </c>
      <c r="AF207" s="46">
        <f t="shared" si="120"/>
        <v>0</v>
      </c>
      <c r="AG207" s="46"/>
    </row>
    <row r="208" spans="1:33" s="120" customFormat="1" ht="12.75" hidden="1">
      <c r="A208" s="65"/>
      <c r="B208" s="115"/>
      <c r="C208" s="116" t="s">
        <v>150</v>
      </c>
      <c r="D208" s="117">
        <v>0</v>
      </c>
      <c r="E208" s="118">
        <v>0</v>
      </c>
      <c r="F208" s="119">
        <v>0</v>
      </c>
      <c r="G208" s="117">
        <f>H208+I208</f>
        <v>0</v>
      </c>
      <c r="H208" s="118"/>
      <c r="I208" s="119">
        <v>0</v>
      </c>
      <c r="J208" s="117">
        <f>K208+L208</f>
        <v>0</v>
      </c>
      <c r="K208" s="118">
        <f t="shared" si="145"/>
        <v>0</v>
      </c>
      <c r="L208" s="119">
        <f t="shared" si="146"/>
        <v>0</v>
      </c>
      <c r="M208" s="117">
        <f>N208+O208</f>
        <v>0</v>
      </c>
      <c r="N208" s="118"/>
      <c r="O208" s="119">
        <v>0</v>
      </c>
      <c r="P208" s="117">
        <f>Q208+R208</f>
        <v>0</v>
      </c>
      <c r="Q208" s="118">
        <f t="shared" si="147"/>
        <v>0</v>
      </c>
      <c r="R208" s="119">
        <f t="shared" si="148"/>
        <v>0</v>
      </c>
      <c r="S208" s="117">
        <f>T208+U208</f>
        <v>0</v>
      </c>
      <c r="T208" s="118"/>
      <c r="U208" s="119">
        <v>0</v>
      </c>
      <c r="V208" s="117">
        <f>W208+X208</f>
        <v>0</v>
      </c>
      <c r="W208" s="118">
        <f t="shared" si="149"/>
        <v>0</v>
      </c>
      <c r="X208" s="119">
        <f t="shared" si="150"/>
        <v>0</v>
      </c>
      <c r="Y208" s="117">
        <f>Z208+AA208</f>
        <v>0</v>
      </c>
      <c r="Z208" s="118"/>
      <c r="AA208" s="119">
        <v>0</v>
      </c>
      <c r="AB208" s="117">
        <f>AC208+AD208</f>
        <v>0</v>
      </c>
      <c r="AC208" s="118">
        <f t="shared" si="151"/>
        <v>0</v>
      </c>
      <c r="AD208" s="119">
        <f t="shared" si="152"/>
        <v>0</v>
      </c>
      <c r="AF208" s="46">
        <f t="shared" si="120"/>
        <v>0</v>
      </c>
      <c r="AG208" s="46"/>
    </row>
    <row r="209" spans="1:33" s="120" customFormat="1" ht="12.75">
      <c r="A209" s="65"/>
      <c r="B209" s="254"/>
      <c r="C209" s="255" t="s">
        <v>151</v>
      </c>
      <c r="D209" s="141">
        <v>350000</v>
      </c>
      <c r="E209" s="142">
        <v>350000</v>
      </c>
      <c r="F209" s="150">
        <v>0</v>
      </c>
      <c r="G209" s="141">
        <f>H209+I209</f>
        <v>0</v>
      </c>
      <c r="H209" s="142"/>
      <c r="I209" s="150">
        <v>0</v>
      </c>
      <c r="J209" s="141">
        <f>K209+L209</f>
        <v>350000</v>
      </c>
      <c r="K209" s="142">
        <f t="shared" si="145"/>
        <v>350000</v>
      </c>
      <c r="L209" s="150">
        <f t="shared" si="146"/>
        <v>0</v>
      </c>
      <c r="M209" s="141">
        <f>N209+O209</f>
        <v>0</v>
      </c>
      <c r="N209" s="142"/>
      <c r="O209" s="150">
        <v>0</v>
      </c>
      <c r="P209" s="141">
        <f>Q209+R209</f>
        <v>350000</v>
      </c>
      <c r="Q209" s="142">
        <f t="shared" si="147"/>
        <v>350000</v>
      </c>
      <c r="R209" s="150">
        <f t="shared" si="148"/>
        <v>0</v>
      </c>
      <c r="S209" s="141">
        <f>T209+U209</f>
        <v>0</v>
      </c>
      <c r="T209" s="142"/>
      <c r="U209" s="150">
        <v>0</v>
      </c>
      <c r="V209" s="141">
        <f>W209+X209</f>
        <v>350000</v>
      </c>
      <c r="W209" s="142">
        <f t="shared" si="149"/>
        <v>350000</v>
      </c>
      <c r="X209" s="150">
        <f t="shared" si="150"/>
        <v>0</v>
      </c>
      <c r="Y209" s="141">
        <f>Z209+AA209</f>
        <v>0</v>
      </c>
      <c r="Z209" s="142"/>
      <c r="AA209" s="150"/>
      <c r="AB209" s="141">
        <f>AC209+AD209</f>
        <v>350000</v>
      </c>
      <c r="AC209" s="142">
        <f t="shared" si="151"/>
        <v>350000</v>
      </c>
      <c r="AD209" s="150">
        <f t="shared" si="152"/>
        <v>0</v>
      </c>
      <c r="AF209" s="46">
        <f t="shared" si="120"/>
        <v>0</v>
      </c>
      <c r="AG209" s="46"/>
    </row>
    <row r="210" spans="1:33" ht="33.75">
      <c r="A210" s="65"/>
      <c r="B210" s="140">
        <v>85212</v>
      </c>
      <c r="C210" s="433" t="s">
        <v>152</v>
      </c>
      <c r="D210" s="112">
        <v>5420303</v>
      </c>
      <c r="E210" s="113">
        <v>5420303</v>
      </c>
      <c r="F210" s="114">
        <v>0</v>
      </c>
      <c r="G210" s="112">
        <f>I210+H210</f>
        <v>10000</v>
      </c>
      <c r="H210" s="113">
        <f>H211+H212</f>
        <v>0</v>
      </c>
      <c r="I210" s="114">
        <f>SUM(I211:I212)</f>
        <v>10000</v>
      </c>
      <c r="J210" s="112">
        <f>L210+K210</f>
        <v>5430303</v>
      </c>
      <c r="K210" s="113">
        <f t="shared" si="145"/>
        <v>5420303</v>
      </c>
      <c r="L210" s="114">
        <f t="shared" si="146"/>
        <v>10000</v>
      </c>
      <c r="M210" s="112">
        <f>O210+N210</f>
        <v>0</v>
      </c>
      <c r="N210" s="113">
        <f>N211+N212</f>
        <v>0</v>
      </c>
      <c r="O210" s="114">
        <f>SUM(O211:O212)</f>
        <v>0</v>
      </c>
      <c r="P210" s="112">
        <f>R210+Q210</f>
        <v>5430303</v>
      </c>
      <c r="Q210" s="113">
        <f t="shared" si="147"/>
        <v>5420303</v>
      </c>
      <c r="R210" s="114">
        <f t="shared" si="148"/>
        <v>10000</v>
      </c>
      <c r="S210" s="112">
        <f>U210+T210</f>
        <v>1014500</v>
      </c>
      <c r="T210" s="113">
        <f>T211+T212+8000+T213</f>
        <v>1014500</v>
      </c>
      <c r="U210" s="114">
        <f>SUM(U211:U212)</f>
        <v>0</v>
      </c>
      <c r="V210" s="112">
        <f>X210+W210</f>
        <v>6444803</v>
      </c>
      <c r="W210" s="113">
        <f t="shared" si="149"/>
        <v>6434803</v>
      </c>
      <c r="X210" s="114">
        <f t="shared" si="150"/>
        <v>10000</v>
      </c>
      <c r="Y210" s="112">
        <f>AA210+Z210</f>
        <v>31000</v>
      </c>
      <c r="Z210" s="113">
        <f>Z211+Z212+Z213</f>
        <v>31000</v>
      </c>
      <c r="AA210" s="114">
        <f>AA211+AA212+AA213</f>
        <v>0</v>
      </c>
      <c r="AB210" s="112">
        <f>AD210+AC210</f>
        <v>6475803</v>
      </c>
      <c r="AC210" s="113">
        <f t="shared" si="151"/>
        <v>6465803</v>
      </c>
      <c r="AD210" s="114">
        <f t="shared" si="152"/>
        <v>10000</v>
      </c>
      <c r="AF210" s="46">
        <f t="shared" si="120"/>
        <v>0</v>
      </c>
      <c r="AG210" s="46"/>
    </row>
    <row r="211" spans="1:33" ht="12.75">
      <c r="A211" s="65"/>
      <c r="B211" s="130"/>
      <c r="C211" s="85" t="s">
        <v>31</v>
      </c>
      <c r="D211" s="88">
        <v>2168303</v>
      </c>
      <c r="E211" s="86">
        <v>2168303</v>
      </c>
      <c r="F211" s="161">
        <v>0</v>
      </c>
      <c r="G211" s="88">
        <f aca="true" t="shared" si="153" ref="G211:G265">H211+I211</f>
        <v>10000</v>
      </c>
      <c r="H211" s="86"/>
      <c r="I211" s="161">
        <v>10000</v>
      </c>
      <c r="J211" s="88">
        <f aca="true" t="shared" si="154" ref="J211:J265">K211+L211</f>
        <v>2178303</v>
      </c>
      <c r="K211" s="86">
        <f t="shared" si="145"/>
        <v>2168303</v>
      </c>
      <c r="L211" s="161">
        <f t="shared" si="146"/>
        <v>10000</v>
      </c>
      <c r="M211" s="88">
        <f aca="true" t="shared" si="155" ref="M211:M265">N211+O211</f>
        <v>0</v>
      </c>
      <c r="N211" s="86"/>
      <c r="O211" s="161">
        <v>0</v>
      </c>
      <c r="P211" s="88">
        <f aca="true" t="shared" si="156" ref="P211:P265">Q211+R211</f>
        <v>2178303</v>
      </c>
      <c r="Q211" s="86">
        <f t="shared" si="147"/>
        <v>2168303</v>
      </c>
      <c r="R211" s="161">
        <f t="shared" si="148"/>
        <v>10000</v>
      </c>
      <c r="S211" s="88">
        <f aca="true" t="shared" si="157" ref="S211:S265">T211+U211</f>
        <v>0</v>
      </c>
      <c r="T211" s="86">
        <v>0</v>
      </c>
      <c r="U211" s="161">
        <v>0</v>
      </c>
      <c r="V211" s="88">
        <f aca="true" t="shared" si="158" ref="V211:V265">W211+X211</f>
        <v>2178303</v>
      </c>
      <c r="W211" s="86">
        <f t="shared" si="149"/>
        <v>2168303</v>
      </c>
      <c r="X211" s="161">
        <f t="shared" si="150"/>
        <v>10000</v>
      </c>
      <c r="Y211" s="88">
        <f>Z211+AA211</f>
        <v>31000</v>
      </c>
      <c r="Z211" s="86">
        <v>31000</v>
      </c>
      <c r="AA211" s="161"/>
      <c r="AB211" s="88">
        <f aca="true" t="shared" si="159" ref="AB211:AB216">AC211+AD211</f>
        <v>2209303</v>
      </c>
      <c r="AC211" s="86">
        <f t="shared" si="151"/>
        <v>2199303</v>
      </c>
      <c r="AD211" s="161">
        <f t="shared" si="152"/>
        <v>10000</v>
      </c>
      <c r="AF211" s="46">
        <f t="shared" si="120"/>
        <v>0</v>
      </c>
      <c r="AG211" s="46"/>
    </row>
    <row r="212" spans="1:33" ht="12.75">
      <c r="A212" s="65"/>
      <c r="B212" s="108"/>
      <c r="C212" s="116" t="s">
        <v>153</v>
      </c>
      <c r="D212" s="91">
        <v>3000000</v>
      </c>
      <c r="E212" s="92">
        <v>3000000</v>
      </c>
      <c r="F212" s="186">
        <v>0</v>
      </c>
      <c r="G212" s="91">
        <f t="shared" si="153"/>
        <v>0</v>
      </c>
      <c r="H212" s="92"/>
      <c r="I212" s="186">
        <v>0</v>
      </c>
      <c r="J212" s="91">
        <f t="shared" si="154"/>
        <v>3000000</v>
      </c>
      <c r="K212" s="92">
        <f t="shared" si="145"/>
        <v>3000000</v>
      </c>
      <c r="L212" s="186">
        <f t="shared" si="146"/>
        <v>0</v>
      </c>
      <c r="M212" s="91">
        <f t="shared" si="155"/>
        <v>0</v>
      </c>
      <c r="N212" s="92"/>
      <c r="O212" s="186">
        <v>0</v>
      </c>
      <c r="P212" s="91">
        <f t="shared" si="156"/>
        <v>3000000</v>
      </c>
      <c r="Q212" s="92">
        <f t="shared" si="147"/>
        <v>3000000</v>
      </c>
      <c r="R212" s="186">
        <f t="shared" si="148"/>
        <v>0</v>
      </c>
      <c r="S212" s="91">
        <f t="shared" si="157"/>
        <v>735500</v>
      </c>
      <c r="T212" s="92">
        <v>735500</v>
      </c>
      <c r="U212" s="186">
        <v>0</v>
      </c>
      <c r="V212" s="91">
        <f t="shared" si="158"/>
        <v>3735500</v>
      </c>
      <c r="W212" s="92">
        <f t="shared" si="149"/>
        <v>3735500</v>
      </c>
      <c r="X212" s="186">
        <f t="shared" si="150"/>
        <v>0</v>
      </c>
      <c r="Y212" s="91">
        <f>Z212+AA212</f>
        <v>0</v>
      </c>
      <c r="Z212" s="92"/>
      <c r="AA212" s="186"/>
      <c r="AB212" s="91">
        <f t="shared" si="159"/>
        <v>3735500</v>
      </c>
      <c r="AC212" s="92">
        <f t="shared" si="151"/>
        <v>3735500</v>
      </c>
      <c r="AD212" s="186">
        <f t="shared" si="152"/>
        <v>0</v>
      </c>
      <c r="AF212" s="46">
        <f t="shared" si="120"/>
        <v>0</v>
      </c>
      <c r="AG212" s="46"/>
    </row>
    <row r="213" spans="1:33" ht="12.75">
      <c r="A213" s="65"/>
      <c r="B213" s="108"/>
      <c r="C213" s="116" t="s">
        <v>328</v>
      </c>
      <c r="D213" s="91"/>
      <c r="E213" s="92"/>
      <c r="F213" s="186"/>
      <c r="G213" s="91"/>
      <c r="H213" s="92"/>
      <c r="I213" s="186"/>
      <c r="J213" s="91"/>
      <c r="K213" s="92"/>
      <c r="L213" s="186"/>
      <c r="M213" s="91"/>
      <c r="N213" s="92"/>
      <c r="O213" s="186"/>
      <c r="P213" s="91"/>
      <c r="Q213" s="92"/>
      <c r="R213" s="186"/>
      <c r="S213" s="112">
        <f t="shared" si="157"/>
        <v>271000</v>
      </c>
      <c r="T213" s="92">
        <v>271000</v>
      </c>
      <c r="U213" s="186">
        <v>0</v>
      </c>
      <c r="V213" s="112">
        <f>W213+X213</f>
        <v>271000</v>
      </c>
      <c r="W213" s="113">
        <f>Q213+T213</f>
        <v>271000</v>
      </c>
      <c r="X213" s="128">
        <f t="shared" si="150"/>
        <v>0</v>
      </c>
      <c r="Y213" s="112">
        <f>Z213+AA213</f>
        <v>0</v>
      </c>
      <c r="Z213" s="92"/>
      <c r="AA213" s="186"/>
      <c r="AB213" s="112">
        <f t="shared" si="159"/>
        <v>271000</v>
      </c>
      <c r="AC213" s="113">
        <f t="shared" si="151"/>
        <v>271000</v>
      </c>
      <c r="AD213" s="128">
        <f t="shared" si="152"/>
        <v>0</v>
      </c>
      <c r="AF213" s="46">
        <f t="shared" si="120"/>
        <v>0</v>
      </c>
      <c r="AG213" s="46"/>
    </row>
    <row r="214" spans="1:33" ht="30.75" customHeight="1">
      <c r="A214" s="65"/>
      <c r="B214" s="106">
        <v>85213</v>
      </c>
      <c r="C214" s="189" t="s">
        <v>154</v>
      </c>
      <c r="D214" s="419">
        <v>1500</v>
      </c>
      <c r="E214" s="420">
        <v>1500</v>
      </c>
      <c r="F214" s="421">
        <v>0</v>
      </c>
      <c r="G214" s="419">
        <f t="shared" si="153"/>
        <v>0</v>
      </c>
      <c r="H214" s="420"/>
      <c r="I214" s="421">
        <v>0</v>
      </c>
      <c r="J214" s="419">
        <f t="shared" si="154"/>
        <v>1500</v>
      </c>
      <c r="K214" s="420">
        <f t="shared" si="145"/>
        <v>1500</v>
      </c>
      <c r="L214" s="421">
        <f t="shared" si="146"/>
        <v>0</v>
      </c>
      <c r="M214" s="419">
        <f t="shared" si="155"/>
        <v>0</v>
      </c>
      <c r="N214" s="420"/>
      <c r="O214" s="421">
        <v>0</v>
      </c>
      <c r="P214" s="419">
        <f t="shared" si="156"/>
        <v>1500</v>
      </c>
      <c r="Q214" s="420">
        <f t="shared" si="147"/>
        <v>1500</v>
      </c>
      <c r="R214" s="421">
        <f t="shared" si="148"/>
        <v>0</v>
      </c>
      <c r="S214" s="419">
        <f t="shared" si="157"/>
        <v>0</v>
      </c>
      <c r="T214" s="420"/>
      <c r="U214" s="421">
        <v>0</v>
      </c>
      <c r="V214" s="419">
        <f t="shared" si="158"/>
        <v>1500</v>
      </c>
      <c r="W214" s="420">
        <f t="shared" si="149"/>
        <v>1500</v>
      </c>
      <c r="X214" s="421">
        <f t="shared" si="150"/>
        <v>0</v>
      </c>
      <c r="Y214" s="419">
        <f>Z214+AA214</f>
        <v>0</v>
      </c>
      <c r="Z214" s="420"/>
      <c r="AA214" s="421"/>
      <c r="AB214" s="419">
        <f t="shared" si="159"/>
        <v>1500</v>
      </c>
      <c r="AC214" s="420">
        <f t="shared" si="151"/>
        <v>1500</v>
      </c>
      <c r="AD214" s="421">
        <f t="shared" si="152"/>
        <v>0</v>
      </c>
      <c r="AF214" s="46">
        <f t="shared" si="120"/>
        <v>0</v>
      </c>
      <c r="AG214" s="46"/>
    </row>
    <row r="215" spans="1:33" s="274" customFormat="1" ht="22.5">
      <c r="A215" s="203"/>
      <c r="B215" s="130">
        <v>85214</v>
      </c>
      <c r="C215" s="273" t="s">
        <v>330</v>
      </c>
      <c r="D215" s="270">
        <v>18730275</v>
      </c>
      <c r="E215" s="271">
        <v>18730275</v>
      </c>
      <c r="F215" s="272">
        <v>0</v>
      </c>
      <c r="G215" s="270">
        <f t="shared" si="153"/>
        <v>0</v>
      </c>
      <c r="H215" s="271"/>
      <c r="I215" s="272">
        <v>0</v>
      </c>
      <c r="J215" s="270">
        <f t="shared" si="154"/>
        <v>18730275</v>
      </c>
      <c r="K215" s="271">
        <f t="shared" si="145"/>
        <v>18730275</v>
      </c>
      <c r="L215" s="272">
        <f t="shared" si="146"/>
        <v>0</v>
      </c>
      <c r="M215" s="270">
        <f t="shared" si="155"/>
        <v>135400</v>
      </c>
      <c r="N215" s="271">
        <v>135400</v>
      </c>
      <c r="O215" s="272">
        <v>0</v>
      </c>
      <c r="P215" s="270">
        <f t="shared" si="156"/>
        <v>18865675</v>
      </c>
      <c r="Q215" s="271">
        <f t="shared" si="147"/>
        <v>18865675</v>
      </c>
      <c r="R215" s="272">
        <f t="shared" si="148"/>
        <v>0</v>
      </c>
      <c r="S215" s="270">
        <f t="shared" si="157"/>
        <v>0</v>
      </c>
      <c r="T215" s="271">
        <v>0</v>
      </c>
      <c r="U215" s="272">
        <v>0</v>
      </c>
      <c r="V215" s="270">
        <f t="shared" si="158"/>
        <v>18865675</v>
      </c>
      <c r="W215" s="271">
        <f t="shared" si="149"/>
        <v>18865675</v>
      </c>
      <c r="X215" s="272">
        <f t="shared" si="150"/>
        <v>0</v>
      </c>
      <c r="Y215" s="270">
        <f>Z215+AA215</f>
        <v>0</v>
      </c>
      <c r="Z215" s="271"/>
      <c r="AA215" s="272"/>
      <c r="AB215" s="270">
        <f t="shared" si="159"/>
        <v>18865675</v>
      </c>
      <c r="AC215" s="271">
        <f t="shared" si="151"/>
        <v>18865675</v>
      </c>
      <c r="AD215" s="272">
        <f t="shared" si="152"/>
        <v>0</v>
      </c>
      <c r="AF215" s="46">
        <f t="shared" si="120"/>
        <v>0</v>
      </c>
      <c r="AG215" s="46"/>
    </row>
    <row r="216" spans="1:33" s="274" customFormat="1" ht="12.75">
      <c r="A216" s="203"/>
      <c r="B216" s="130"/>
      <c r="C216" s="273" t="s">
        <v>331</v>
      </c>
      <c r="D216" s="270"/>
      <c r="E216" s="271"/>
      <c r="F216" s="272"/>
      <c r="G216" s="270"/>
      <c r="H216" s="271"/>
      <c r="I216" s="272"/>
      <c r="J216" s="270"/>
      <c r="K216" s="271"/>
      <c r="L216" s="272"/>
      <c r="M216" s="270"/>
      <c r="N216" s="271"/>
      <c r="O216" s="272"/>
      <c r="P216" s="270">
        <v>0</v>
      </c>
      <c r="Q216" s="271">
        <v>0</v>
      </c>
      <c r="R216" s="272">
        <v>0</v>
      </c>
      <c r="S216" s="270">
        <v>0</v>
      </c>
      <c r="T216" s="271">
        <v>0</v>
      </c>
      <c r="U216" s="272">
        <v>0</v>
      </c>
      <c r="V216" s="270">
        <f>W216+X216</f>
        <v>71000</v>
      </c>
      <c r="W216" s="271">
        <v>71000</v>
      </c>
      <c r="X216" s="272"/>
      <c r="Y216" s="270">
        <v>0</v>
      </c>
      <c r="Z216" s="271"/>
      <c r="AA216" s="272"/>
      <c r="AB216" s="270">
        <f t="shared" si="159"/>
        <v>71000</v>
      </c>
      <c r="AC216" s="271">
        <v>71000</v>
      </c>
      <c r="AD216" s="272"/>
      <c r="AF216" s="46">
        <f t="shared" si="120"/>
        <v>71000</v>
      </c>
      <c r="AG216" s="46"/>
    </row>
    <row r="217" spans="1:33" ht="12.75">
      <c r="A217" s="65"/>
      <c r="B217" s="106">
        <v>85215</v>
      </c>
      <c r="C217" s="83" t="s">
        <v>155</v>
      </c>
      <c r="D217" s="88">
        <v>19733555</v>
      </c>
      <c r="E217" s="288">
        <v>19733555</v>
      </c>
      <c r="F217" s="139">
        <v>0</v>
      </c>
      <c r="G217" s="88">
        <f t="shared" si="153"/>
        <v>15000</v>
      </c>
      <c r="H217" s="288"/>
      <c r="I217" s="139">
        <v>15000</v>
      </c>
      <c r="J217" s="88">
        <f t="shared" si="154"/>
        <v>19748555</v>
      </c>
      <c r="K217" s="288">
        <f t="shared" si="145"/>
        <v>19733555</v>
      </c>
      <c r="L217" s="139">
        <f t="shared" si="146"/>
        <v>15000</v>
      </c>
      <c r="M217" s="88">
        <f t="shared" si="155"/>
        <v>0</v>
      </c>
      <c r="N217" s="288"/>
      <c r="O217" s="139">
        <v>0</v>
      </c>
      <c r="P217" s="88">
        <f t="shared" si="156"/>
        <v>19748555</v>
      </c>
      <c r="Q217" s="288">
        <f t="shared" si="147"/>
        <v>19733555</v>
      </c>
      <c r="R217" s="139">
        <f t="shared" si="148"/>
        <v>15000</v>
      </c>
      <c r="S217" s="88">
        <f t="shared" si="157"/>
        <v>-735500</v>
      </c>
      <c r="T217" s="288">
        <v>-735500</v>
      </c>
      <c r="U217" s="139">
        <v>0</v>
      </c>
      <c r="V217" s="88">
        <f t="shared" si="158"/>
        <v>19013055</v>
      </c>
      <c r="W217" s="288">
        <f t="shared" si="149"/>
        <v>18998055</v>
      </c>
      <c r="X217" s="139">
        <f t="shared" si="150"/>
        <v>15000</v>
      </c>
      <c r="Y217" s="88">
        <f aca="true" t="shared" si="160" ref="Y217:Y265">Z217+AA217</f>
        <v>10000</v>
      </c>
      <c r="Z217" s="288">
        <v>10000</v>
      </c>
      <c r="AA217" s="139"/>
      <c r="AB217" s="88">
        <f aca="true" t="shared" si="161" ref="AB217:AB265">AC217+AD217</f>
        <v>19023055</v>
      </c>
      <c r="AC217" s="288">
        <f aca="true" t="shared" si="162" ref="AC217:AC234">W217+Z217</f>
        <v>19008055</v>
      </c>
      <c r="AD217" s="139">
        <f aca="true" t="shared" si="163" ref="AD217:AD234">AA217+X217</f>
        <v>15000</v>
      </c>
      <c r="AF217" s="46">
        <f aca="true" t="shared" si="164" ref="AF217:AF282">V217-(S217+P217)</f>
        <v>0</v>
      </c>
      <c r="AG217" s="46"/>
    </row>
    <row r="218" spans="1:33" ht="12.75">
      <c r="A218" s="65"/>
      <c r="B218" s="140">
        <v>85219</v>
      </c>
      <c r="C218" s="129" t="s">
        <v>156</v>
      </c>
      <c r="D218" s="80">
        <v>20274975</v>
      </c>
      <c r="E218" s="138">
        <v>19947975</v>
      </c>
      <c r="F218" s="139">
        <v>327000</v>
      </c>
      <c r="G218" s="80">
        <f t="shared" si="153"/>
        <v>-25000</v>
      </c>
      <c r="H218" s="138"/>
      <c r="I218" s="139">
        <f>-15000-10000</f>
        <v>-25000</v>
      </c>
      <c r="J218" s="80">
        <f t="shared" si="154"/>
        <v>20249975</v>
      </c>
      <c r="K218" s="138">
        <f t="shared" si="145"/>
        <v>19947975</v>
      </c>
      <c r="L218" s="139">
        <f t="shared" si="146"/>
        <v>302000</v>
      </c>
      <c r="M218" s="80">
        <f t="shared" si="155"/>
        <v>72546</v>
      </c>
      <c r="N218" s="138">
        <v>72546</v>
      </c>
      <c r="O218" s="139">
        <v>0</v>
      </c>
      <c r="P218" s="80">
        <f t="shared" si="156"/>
        <v>20322521</v>
      </c>
      <c r="Q218" s="138">
        <f t="shared" si="147"/>
        <v>20020521</v>
      </c>
      <c r="R218" s="139">
        <f t="shared" si="148"/>
        <v>302000</v>
      </c>
      <c r="S218" s="80">
        <f t="shared" si="157"/>
        <v>193248</v>
      </c>
      <c r="T218" s="138">
        <f>36401+105200+51647</f>
        <v>193248</v>
      </c>
      <c r="U218" s="139">
        <v>0</v>
      </c>
      <c r="V218" s="80">
        <f t="shared" si="158"/>
        <v>20515769</v>
      </c>
      <c r="W218" s="138">
        <f t="shared" si="149"/>
        <v>20213769</v>
      </c>
      <c r="X218" s="139">
        <f t="shared" si="150"/>
        <v>302000</v>
      </c>
      <c r="Y218" s="80">
        <f t="shared" si="160"/>
        <v>496210</v>
      </c>
      <c r="Z218" s="138">
        <f>251110+125000+120100</f>
        <v>496210</v>
      </c>
      <c r="AA218" s="139"/>
      <c r="AB218" s="80">
        <f t="shared" si="161"/>
        <v>21011979</v>
      </c>
      <c r="AC218" s="138">
        <f t="shared" si="162"/>
        <v>20709979</v>
      </c>
      <c r="AD218" s="139">
        <f t="shared" si="163"/>
        <v>302000</v>
      </c>
      <c r="AF218" s="46">
        <f t="shared" si="164"/>
        <v>0</v>
      </c>
      <c r="AG218" s="46"/>
    </row>
    <row r="219" spans="1:33" s="100" customFormat="1" ht="22.5" hidden="1">
      <c r="A219" s="94"/>
      <c r="B219" s="275"/>
      <c r="C219" s="276" t="s">
        <v>157</v>
      </c>
      <c r="D219" s="277">
        <v>0</v>
      </c>
      <c r="E219" s="278">
        <v>0</v>
      </c>
      <c r="F219" s="279">
        <v>0</v>
      </c>
      <c r="G219" s="277">
        <f t="shared" si="153"/>
        <v>0</v>
      </c>
      <c r="H219" s="278">
        <v>0</v>
      </c>
      <c r="I219" s="279">
        <v>0</v>
      </c>
      <c r="J219" s="277">
        <f t="shared" si="154"/>
        <v>0</v>
      </c>
      <c r="K219" s="278">
        <f t="shared" si="145"/>
        <v>0</v>
      </c>
      <c r="L219" s="279">
        <f t="shared" si="146"/>
        <v>0</v>
      </c>
      <c r="M219" s="277">
        <f t="shared" si="155"/>
        <v>0</v>
      </c>
      <c r="N219" s="278">
        <v>0</v>
      </c>
      <c r="O219" s="279">
        <v>0</v>
      </c>
      <c r="P219" s="277">
        <f t="shared" si="156"/>
        <v>0</v>
      </c>
      <c r="Q219" s="278">
        <f t="shared" si="147"/>
        <v>0</v>
      </c>
      <c r="R219" s="279">
        <f t="shared" si="148"/>
        <v>0</v>
      </c>
      <c r="S219" s="277">
        <f t="shared" si="157"/>
        <v>0</v>
      </c>
      <c r="T219" s="278">
        <v>0</v>
      </c>
      <c r="U219" s="279">
        <v>0</v>
      </c>
      <c r="V219" s="277">
        <f t="shared" si="158"/>
        <v>0</v>
      </c>
      <c r="W219" s="278">
        <f t="shared" si="149"/>
        <v>0</v>
      </c>
      <c r="X219" s="279">
        <f t="shared" si="150"/>
        <v>0</v>
      </c>
      <c r="Y219" s="277">
        <f t="shared" si="160"/>
        <v>0</v>
      </c>
      <c r="Z219" s="278">
        <v>0</v>
      </c>
      <c r="AA219" s="279">
        <v>0</v>
      </c>
      <c r="AB219" s="277">
        <f t="shared" si="161"/>
        <v>0</v>
      </c>
      <c r="AC219" s="278">
        <f t="shared" si="162"/>
        <v>0</v>
      </c>
      <c r="AD219" s="279">
        <f t="shared" si="163"/>
        <v>0</v>
      </c>
      <c r="AF219" s="46">
        <f t="shared" si="164"/>
        <v>0</v>
      </c>
      <c r="AG219" s="46"/>
    </row>
    <row r="220" spans="1:33" s="100" customFormat="1" ht="22.5" hidden="1">
      <c r="A220" s="94"/>
      <c r="B220" s="109"/>
      <c r="C220" s="224" t="s">
        <v>158</v>
      </c>
      <c r="D220" s="252">
        <v>0</v>
      </c>
      <c r="E220" s="124">
        <v>0</v>
      </c>
      <c r="F220" s="125">
        <v>0</v>
      </c>
      <c r="G220" s="252">
        <f t="shared" si="153"/>
        <v>0</v>
      </c>
      <c r="H220" s="124">
        <v>0</v>
      </c>
      <c r="I220" s="125">
        <v>0</v>
      </c>
      <c r="J220" s="252">
        <f t="shared" si="154"/>
        <v>0</v>
      </c>
      <c r="K220" s="124">
        <f t="shared" si="145"/>
        <v>0</v>
      </c>
      <c r="L220" s="125">
        <f t="shared" si="146"/>
        <v>0</v>
      </c>
      <c r="M220" s="252">
        <f t="shared" si="155"/>
        <v>0</v>
      </c>
      <c r="N220" s="124">
        <v>0</v>
      </c>
      <c r="O220" s="125">
        <v>0</v>
      </c>
      <c r="P220" s="252">
        <f t="shared" si="156"/>
        <v>0</v>
      </c>
      <c r="Q220" s="124">
        <f t="shared" si="147"/>
        <v>0</v>
      </c>
      <c r="R220" s="125">
        <f t="shared" si="148"/>
        <v>0</v>
      </c>
      <c r="S220" s="252">
        <f t="shared" si="157"/>
        <v>0</v>
      </c>
      <c r="T220" s="124">
        <v>0</v>
      </c>
      <c r="U220" s="125">
        <v>0</v>
      </c>
      <c r="V220" s="252">
        <f t="shared" si="158"/>
        <v>0</v>
      </c>
      <c r="W220" s="124">
        <f t="shared" si="149"/>
        <v>0</v>
      </c>
      <c r="X220" s="125">
        <f t="shared" si="150"/>
        <v>0</v>
      </c>
      <c r="Y220" s="252">
        <f t="shared" si="160"/>
        <v>0</v>
      </c>
      <c r="Z220" s="124">
        <v>0</v>
      </c>
      <c r="AA220" s="125">
        <v>0</v>
      </c>
      <c r="AB220" s="252">
        <f t="shared" si="161"/>
        <v>0</v>
      </c>
      <c r="AC220" s="124">
        <f t="shared" si="162"/>
        <v>0</v>
      </c>
      <c r="AD220" s="125">
        <f t="shared" si="163"/>
        <v>0</v>
      </c>
      <c r="AF220" s="46">
        <f t="shared" si="164"/>
        <v>0</v>
      </c>
      <c r="AG220" s="46"/>
    </row>
    <row r="221" spans="1:33" s="100" customFormat="1" ht="12.75" hidden="1">
      <c r="A221" s="94"/>
      <c r="B221" s="126"/>
      <c r="C221" s="224" t="s">
        <v>42</v>
      </c>
      <c r="D221" s="97">
        <v>0</v>
      </c>
      <c r="E221" s="98">
        <v>0</v>
      </c>
      <c r="F221" s="220">
        <v>0</v>
      </c>
      <c r="G221" s="97">
        <f t="shared" si="153"/>
        <v>0</v>
      </c>
      <c r="H221" s="98">
        <v>0</v>
      </c>
      <c r="I221" s="220">
        <v>0</v>
      </c>
      <c r="J221" s="97">
        <f t="shared" si="154"/>
        <v>0</v>
      </c>
      <c r="K221" s="98">
        <f t="shared" si="145"/>
        <v>0</v>
      </c>
      <c r="L221" s="220">
        <f t="shared" si="146"/>
        <v>0</v>
      </c>
      <c r="M221" s="97">
        <f t="shared" si="155"/>
        <v>0</v>
      </c>
      <c r="N221" s="98">
        <v>0</v>
      </c>
      <c r="O221" s="220">
        <v>0</v>
      </c>
      <c r="P221" s="97">
        <f t="shared" si="156"/>
        <v>0</v>
      </c>
      <c r="Q221" s="98">
        <f t="shared" si="147"/>
        <v>0</v>
      </c>
      <c r="R221" s="220">
        <f t="shared" si="148"/>
        <v>0</v>
      </c>
      <c r="S221" s="97">
        <f t="shared" si="157"/>
        <v>0</v>
      </c>
      <c r="T221" s="98">
        <v>0</v>
      </c>
      <c r="U221" s="220">
        <v>0</v>
      </c>
      <c r="V221" s="97">
        <f t="shared" si="158"/>
        <v>0</v>
      </c>
      <c r="W221" s="98">
        <f t="shared" si="149"/>
        <v>0</v>
      </c>
      <c r="X221" s="220">
        <f t="shared" si="150"/>
        <v>0</v>
      </c>
      <c r="Y221" s="97">
        <f t="shared" si="160"/>
        <v>0</v>
      </c>
      <c r="Z221" s="98">
        <v>0</v>
      </c>
      <c r="AA221" s="220">
        <v>0</v>
      </c>
      <c r="AB221" s="97">
        <f t="shared" si="161"/>
        <v>0</v>
      </c>
      <c r="AC221" s="98">
        <f t="shared" si="162"/>
        <v>0</v>
      </c>
      <c r="AD221" s="220">
        <f t="shared" si="163"/>
        <v>0</v>
      </c>
      <c r="AF221" s="46">
        <f t="shared" si="164"/>
        <v>0</v>
      </c>
      <c r="AG221" s="46"/>
    </row>
    <row r="222" spans="1:33" ht="12.75">
      <c r="A222" s="65"/>
      <c r="B222" s="106">
        <v>85228</v>
      </c>
      <c r="C222" s="83" t="s">
        <v>159</v>
      </c>
      <c r="D222" s="80">
        <v>9010000</v>
      </c>
      <c r="E222" s="138">
        <v>9010000</v>
      </c>
      <c r="F222" s="139">
        <v>0</v>
      </c>
      <c r="G222" s="80">
        <f t="shared" si="153"/>
        <v>71952</v>
      </c>
      <c r="H222" s="138">
        <v>71952</v>
      </c>
      <c r="I222" s="139">
        <v>0</v>
      </c>
      <c r="J222" s="80">
        <f t="shared" si="154"/>
        <v>9081952</v>
      </c>
      <c r="K222" s="138">
        <f t="shared" si="145"/>
        <v>9081952</v>
      </c>
      <c r="L222" s="139">
        <f t="shared" si="146"/>
        <v>0</v>
      </c>
      <c r="M222" s="80">
        <f t="shared" si="155"/>
        <v>0</v>
      </c>
      <c r="N222" s="138">
        <v>0</v>
      </c>
      <c r="O222" s="139">
        <v>0</v>
      </c>
      <c r="P222" s="80">
        <f t="shared" si="156"/>
        <v>9081952</v>
      </c>
      <c r="Q222" s="138">
        <f t="shared" si="147"/>
        <v>9081952</v>
      </c>
      <c r="R222" s="139">
        <f t="shared" si="148"/>
        <v>0</v>
      </c>
      <c r="S222" s="80">
        <f t="shared" si="157"/>
        <v>1181471</v>
      </c>
      <c r="T222" s="138">
        <f>121+1181350</f>
        <v>1181471</v>
      </c>
      <c r="U222" s="139">
        <v>0</v>
      </c>
      <c r="V222" s="80">
        <f t="shared" si="158"/>
        <v>10263423</v>
      </c>
      <c r="W222" s="138">
        <f t="shared" si="149"/>
        <v>10263423</v>
      </c>
      <c r="X222" s="139">
        <f t="shared" si="150"/>
        <v>0</v>
      </c>
      <c r="Y222" s="80">
        <f t="shared" si="160"/>
        <v>0</v>
      </c>
      <c r="Z222" s="138"/>
      <c r="AA222" s="139"/>
      <c r="AB222" s="80">
        <f t="shared" si="161"/>
        <v>10263423</v>
      </c>
      <c r="AC222" s="138">
        <f t="shared" si="162"/>
        <v>10263423</v>
      </c>
      <c r="AD222" s="139">
        <f t="shared" si="163"/>
        <v>0</v>
      </c>
      <c r="AF222" s="46">
        <f t="shared" si="164"/>
        <v>0</v>
      </c>
      <c r="AG222" s="46"/>
    </row>
    <row r="223" spans="1:33" s="100" customFormat="1" ht="22.5" customHeight="1" hidden="1">
      <c r="A223" s="94"/>
      <c r="B223" s="166">
        <v>2310</v>
      </c>
      <c r="C223" s="276" t="s">
        <v>160</v>
      </c>
      <c r="D223" s="280">
        <v>0</v>
      </c>
      <c r="E223" s="169">
        <v>0</v>
      </c>
      <c r="F223" s="170">
        <v>0</v>
      </c>
      <c r="G223" s="280">
        <f t="shared" si="153"/>
        <v>0</v>
      </c>
      <c r="H223" s="169">
        <v>0</v>
      </c>
      <c r="I223" s="170">
        <v>0</v>
      </c>
      <c r="J223" s="280">
        <f t="shared" si="154"/>
        <v>0</v>
      </c>
      <c r="K223" s="169">
        <f t="shared" si="145"/>
        <v>0</v>
      </c>
      <c r="L223" s="170">
        <f t="shared" si="146"/>
        <v>0</v>
      </c>
      <c r="M223" s="280">
        <f t="shared" si="155"/>
        <v>0</v>
      </c>
      <c r="N223" s="169">
        <v>0</v>
      </c>
      <c r="O223" s="170">
        <v>0</v>
      </c>
      <c r="P223" s="280">
        <f t="shared" si="156"/>
        <v>0</v>
      </c>
      <c r="Q223" s="169">
        <f t="shared" si="147"/>
        <v>0</v>
      </c>
      <c r="R223" s="170">
        <f t="shared" si="148"/>
        <v>0</v>
      </c>
      <c r="S223" s="280">
        <f t="shared" si="157"/>
        <v>0</v>
      </c>
      <c r="T223" s="169">
        <v>0</v>
      </c>
      <c r="U223" s="170">
        <v>0</v>
      </c>
      <c r="V223" s="280">
        <f t="shared" si="158"/>
        <v>0</v>
      </c>
      <c r="W223" s="169">
        <f t="shared" si="149"/>
        <v>0</v>
      </c>
      <c r="X223" s="170">
        <f t="shared" si="150"/>
        <v>0</v>
      </c>
      <c r="Y223" s="280">
        <f t="shared" si="160"/>
        <v>0</v>
      </c>
      <c r="Z223" s="169">
        <v>0</v>
      </c>
      <c r="AA223" s="170">
        <v>0</v>
      </c>
      <c r="AB223" s="280">
        <f t="shared" si="161"/>
        <v>0</v>
      </c>
      <c r="AC223" s="169">
        <f t="shared" si="162"/>
        <v>0</v>
      </c>
      <c r="AD223" s="170">
        <f t="shared" si="163"/>
        <v>0</v>
      </c>
      <c r="AF223" s="46">
        <f t="shared" si="164"/>
        <v>0</v>
      </c>
      <c r="AG223" s="46"/>
    </row>
    <row r="224" spans="1:33" ht="12.75">
      <c r="A224" s="65"/>
      <c r="B224" s="106">
        <v>85233</v>
      </c>
      <c r="C224" s="281" t="s">
        <v>130</v>
      </c>
      <c r="D224" s="80">
        <v>375</v>
      </c>
      <c r="E224" s="138">
        <v>375</v>
      </c>
      <c r="F224" s="139">
        <v>0</v>
      </c>
      <c r="G224" s="80">
        <f t="shared" si="153"/>
        <v>0</v>
      </c>
      <c r="H224" s="138"/>
      <c r="I224" s="139">
        <v>0</v>
      </c>
      <c r="J224" s="80">
        <f t="shared" si="154"/>
        <v>375</v>
      </c>
      <c r="K224" s="138">
        <f t="shared" si="145"/>
        <v>375</v>
      </c>
      <c r="L224" s="139">
        <f t="shared" si="146"/>
        <v>0</v>
      </c>
      <c r="M224" s="80">
        <f t="shared" si="155"/>
        <v>0</v>
      </c>
      <c r="N224" s="138"/>
      <c r="O224" s="139">
        <v>0</v>
      </c>
      <c r="P224" s="80">
        <f t="shared" si="156"/>
        <v>375</v>
      </c>
      <c r="Q224" s="138">
        <f t="shared" si="147"/>
        <v>375</v>
      </c>
      <c r="R224" s="139">
        <f t="shared" si="148"/>
        <v>0</v>
      </c>
      <c r="S224" s="80">
        <f t="shared" si="157"/>
        <v>0</v>
      </c>
      <c r="T224" s="138"/>
      <c r="U224" s="139">
        <v>0</v>
      </c>
      <c r="V224" s="80">
        <f t="shared" si="158"/>
        <v>375</v>
      </c>
      <c r="W224" s="138">
        <f t="shared" si="149"/>
        <v>375</v>
      </c>
      <c r="X224" s="139">
        <f t="shared" si="150"/>
        <v>0</v>
      </c>
      <c r="Y224" s="80">
        <f t="shared" si="160"/>
        <v>0</v>
      </c>
      <c r="Z224" s="138"/>
      <c r="AA224" s="139"/>
      <c r="AB224" s="80">
        <f t="shared" si="161"/>
        <v>375</v>
      </c>
      <c r="AC224" s="138">
        <f t="shared" si="162"/>
        <v>375</v>
      </c>
      <c r="AD224" s="139">
        <f t="shared" si="163"/>
        <v>0</v>
      </c>
      <c r="AF224" s="46">
        <f t="shared" si="164"/>
        <v>0</v>
      </c>
      <c r="AG224" s="46"/>
    </row>
    <row r="225" spans="1:33" ht="13.5" customHeight="1">
      <c r="A225" s="65"/>
      <c r="B225" s="140">
        <v>85295</v>
      </c>
      <c r="C225" s="129" t="s">
        <v>80</v>
      </c>
      <c r="D225" s="112">
        <v>9707300</v>
      </c>
      <c r="E225" s="113">
        <v>9707300</v>
      </c>
      <c r="F225" s="114">
        <v>0</v>
      </c>
      <c r="G225" s="112">
        <f t="shared" si="153"/>
        <v>0</v>
      </c>
      <c r="H225" s="113">
        <f>SUM(H226:H234)</f>
        <v>0</v>
      </c>
      <c r="I225" s="114">
        <f>SUM(I226:I234)</f>
        <v>0</v>
      </c>
      <c r="J225" s="112">
        <f t="shared" si="154"/>
        <v>9707300</v>
      </c>
      <c r="K225" s="113">
        <f t="shared" si="145"/>
        <v>9707300</v>
      </c>
      <c r="L225" s="114">
        <f t="shared" si="146"/>
        <v>0</v>
      </c>
      <c r="M225" s="112">
        <f t="shared" si="155"/>
        <v>0</v>
      </c>
      <c r="N225" s="113">
        <f>SUM(N226:N234)</f>
        <v>0</v>
      </c>
      <c r="O225" s="114">
        <f>SUM(O226:O234)</f>
        <v>0</v>
      </c>
      <c r="P225" s="112">
        <f t="shared" si="156"/>
        <v>9707300</v>
      </c>
      <c r="Q225" s="113">
        <f t="shared" si="147"/>
        <v>9707300</v>
      </c>
      <c r="R225" s="114">
        <f t="shared" si="148"/>
        <v>0</v>
      </c>
      <c r="S225" s="112">
        <f t="shared" si="157"/>
        <v>1778800</v>
      </c>
      <c r="T225" s="113">
        <f>SUM(T226:T234)+10000</f>
        <v>1778800</v>
      </c>
      <c r="U225" s="114">
        <f>SUM(U226:U234)</f>
        <v>0</v>
      </c>
      <c r="V225" s="112">
        <f t="shared" si="158"/>
        <v>11486100</v>
      </c>
      <c r="W225" s="113">
        <f t="shared" si="149"/>
        <v>11486100</v>
      </c>
      <c r="X225" s="114">
        <f t="shared" si="150"/>
        <v>0</v>
      </c>
      <c r="Y225" s="112">
        <f t="shared" si="160"/>
        <v>0</v>
      </c>
      <c r="Z225" s="113">
        <f>SUM(Z226:Z234)</f>
        <v>0</v>
      </c>
      <c r="AA225" s="114">
        <f>SUM(AA226:AA234)</f>
        <v>0</v>
      </c>
      <c r="AB225" s="112">
        <f t="shared" si="161"/>
        <v>11486100</v>
      </c>
      <c r="AC225" s="113">
        <f t="shared" si="162"/>
        <v>11486100</v>
      </c>
      <c r="AD225" s="114">
        <f t="shared" si="163"/>
        <v>0</v>
      </c>
      <c r="AF225" s="46">
        <f t="shared" si="164"/>
        <v>0</v>
      </c>
      <c r="AG225" s="46"/>
    </row>
    <row r="226" spans="1:33" s="9" customFormat="1" ht="21" customHeight="1">
      <c r="A226" s="121"/>
      <c r="B226" s="130"/>
      <c r="C226" s="160" t="s">
        <v>161</v>
      </c>
      <c r="D226" s="282">
        <v>6427160</v>
      </c>
      <c r="E226" s="86">
        <v>6427160</v>
      </c>
      <c r="F226" s="87">
        <v>0</v>
      </c>
      <c r="G226" s="282">
        <f t="shared" si="153"/>
        <v>0</v>
      </c>
      <c r="H226" s="86"/>
      <c r="I226" s="87">
        <v>0</v>
      </c>
      <c r="J226" s="282">
        <f t="shared" si="154"/>
        <v>6427160</v>
      </c>
      <c r="K226" s="86">
        <f t="shared" si="145"/>
        <v>6427160</v>
      </c>
      <c r="L226" s="87">
        <f t="shared" si="146"/>
        <v>0</v>
      </c>
      <c r="M226" s="282">
        <f t="shared" si="155"/>
        <v>0</v>
      </c>
      <c r="N226" s="86"/>
      <c r="O226" s="87">
        <v>0</v>
      </c>
      <c r="P226" s="282">
        <f t="shared" si="156"/>
        <v>6427160</v>
      </c>
      <c r="Q226" s="86">
        <f t="shared" si="147"/>
        <v>6427160</v>
      </c>
      <c r="R226" s="87">
        <f t="shared" si="148"/>
        <v>0</v>
      </c>
      <c r="S226" s="282">
        <f t="shared" si="157"/>
        <v>860000</v>
      </c>
      <c r="T226" s="86">
        <f>700000+160000</f>
        <v>860000</v>
      </c>
      <c r="U226" s="87">
        <v>0</v>
      </c>
      <c r="V226" s="282">
        <f t="shared" si="158"/>
        <v>7287160</v>
      </c>
      <c r="W226" s="86">
        <f t="shared" si="149"/>
        <v>7287160</v>
      </c>
      <c r="X226" s="87">
        <f t="shared" si="150"/>
        <v>0</v>
      </c>
      <c r="Y226" s="282">
        <f t="shared" si="160"/>
        <v>0</v>
      </c>
      <c r="Z226" s="86"/>
      <c r="AA226" s="87"/>
      <c r="AB226" s="282">
        <f t="shared" si="161"/>
        <v>7287160</v>
      </c>
      <c r="AC226" s="86">
        <f t="shared" si="162"/>
        <v>7287160</v>
      </c>
      <c r="AD226" s="87">
        <f t="shared" si="163"/>
        <v>0</v>
      </c>
      <c r="AF226" s="46">
        <f t="shared" si="164"/>
        <v>0</v>
      </c>
      <c r="AG226" s="46"/>
    </row>
    <row r="227" spans="1:33" s="9" customFormat="1" ht="12" customHeight="1" hidden="1">
      <c r="A227" s="121"/>
      <c r="B227" s="108"/>
      <c r="C227" s="213" t="s">
        <v>162</v>
      </c>
      <c r="D227" s="209">
        <v>0</v>
      </c>
      <c r="E227" s="92">
        <v>0</v>
      </c>
      <c r="F227" s="93">
        <v>0</v>
      </c>
      <c r="G227" s="209">
        <f t="shared" si="153"/>
        <v>0</v>
      </c>
      <c r="H227" s="92"/>
      <c r="I227" s="93">
        <v>0</v>
      </c>
      <c r="J227" s="209">
        <f t="shared" si="154"/>
        <v>0</v>
      </c>
      <c r="K227" s="92">
        <f t="shared" si="145"/>
        <v>0</v>
      </c>
      <c r="L227" s="93">
        <f t="shared" si="146"/>
        <v>0</v>
      </c>
      <c r="M227" s="209">
        <f t="shared" si="155"/>
        <v>0</v>
      </c>
      <c r="N227" s="92"/>
      <c r="O227" s="93">
        <v>0</v>
      </c>
      <c r="P227" s="209">
        <f t="shared" si="156"/>
        <v>0</v>
      </c>
      <c r="Q227" s="92">
        <f t="shared" si="147"/>
        <v>0</v>
      </c>
      <c r="R227" s="93">
        <f t="shared" si="148"/>
        <v>0</v>
      </c>
      <c r="S227" s="209">
        <f t="shared" si="157"/>
        <v>0</v>
      </c>
      <c r="T227" s="92"/>
      <c r="U227" s="93">
        <v>0</v>
      </c>
      <c r="V227" s="209">
        <f t="shared" si="158"/>
        <v>0</v>
      </c>
      <c r="W227" s="92">
        <f t="shared" si="149"/>
        <v>0</v>
      </c>
      <c r="X227" s="93">
        <f t="shared" si="150"/>
        <v>0</v>
      </c>
      <c r="Y227" s="209">
        <f t="shared" si="160"/>
        <v>0</v>
      </c>
      <c r="Z227" s="92"/>
      <c r="AA227" s="93"/>
      <c r="AB227" s="209">
        <f t="shared" si="161"/>
        <v>0</v>
      </c>
      <c r="AC227" s="92">
        <f t="shared" si="162"/>
        <v>0</v>
      </c>
      <c r="AD227" s="93">
        <f t="shared" si="163"/>
        <v>0</v>
      </c>
      <c r="AF227" s="46">
        <f t="shared" si="164"/>
        <v>0</v>
      </c>
      <c r="AG227" s="46"/>
    </row>
    <row r="228" spans="1:33" s="9" customFormat="1" ht="12" customHeight="1">
      <c r="A228" s="121"/>
      <c r="B228" s="108"/>
      <c r="C228" s="213" t="s">
        <v>163</v>
      </c>
      <c r="D228" s="209">
        <v>2854000</v>
      </c>
      <c r="E228" s="92">
        <v>2854000</v>
      </c>
      <c r="F228" s="93">
        <v>0</v>
      </c>
      <c r="G228" s="209">
        <f t="shared" si="153"/>
        <v>0</v>
      </c>
      <c r="H228" s="92"/>
      <c r="I228" s="93">
        <v>0</v>
      </c>
      <c r="J228" s="209">
        <f t="shared" si="154"/>
        <v>2854000</v>
      </c>
      <c r="K228" s="92">
        <f t="shared" si="145"/>
        <v>2854000</v>
      </c>
      <c r="L228" s="93">
        <f t="shared" si="146"/>
        <v>0</v>
      </c>
      <c r="M228" s="209">
        <f t="shared" si="155"/>
        <v>0</v>
      </c>
      <c r="N228" s="92"/>
      <c r="O228" s="93">
        <v>0</v>
      </c>
      <c r="P228" s="209">
        <f t="shared" si="156"/>
        <v>2854000</v>
      </c>
      <c r="Q228" s="92">
        <f t="shared" si="147"/>
        <v>2854000</v>
      </c>
      <c r="R228" s="93">
        <f t="shared" si="148"/>
        <v>0</v>
      </c>
      <c r="S228" s="209">
        <f t="shared" si="157"/>
        <v>908800</v>
      </c>
      <c r="T228" s="422">
        <v>908800</v>
      </c>
      <c r="U228" s="93">
        <v>0</v>
      </c>
      <c r="V228" s="209">
        <f t="shared" si="158"/>
        <v>3762800</v>
      </c>
      <c r="W228" s="92">
        <f t="shared" si="149"/>
        <v>3762800</v>
      </c>
      <c r="X228" s="93">
        <f t="shared" si="150"/>
        <v>0</v>
      </c>
      <c r="Y228" s="209">
        <f t="shared" si="160"/>
        <v>0</v>
      </c>
      <c r="Z228" s="422"/>
      <c r="AA228" s="93"/>
      <c r="AB228" s="209">
        <f t="shared" si="161"/>
        <v>3762800</v>
      </c>
      <c r="AC228" s="92">
        <f t="shared" si="162"/>
        <v>3762800</v>
      </c>
      <c r="AD228" s="93">
        <f t="shared" si="163"/>
        <v>0</v>
      </c>
      <c r="AF228" s="46">
        <f t="shared" si="164"/>
        <v>0</v>
      </c>
      <c r="AG228" s="46"/>
    </row>
    <row r="229" spans="1:33" s="9" customFormat="1" ht="12" customHeight="1">
      <c r="A229" s="121"/>
      <c r="B229" s="108"/>
      <c r="C229" s="213" t="s">
        <v>164</v>
      </c>
      <c r="D229" s="209">
        <v>30000</v>
      </c>
      <c r="E229" s="92">
        <v>30000</v>
      </c>
      <c r="F229" s="93">
        <v>0</v>
      </c>
      <c r="G229" s="209">
        <f t="shared" si="153"/>
        <v>0</v>
      </c>
      <c r="H229" s="92"/>
      <c r="I229" s="93">
        <v>0</v>
      </c>
      <c r="J229" s="209">
        <f t="shared" si="154"/>
        <v>30000</v>
      </c>
      <c r="K229" s="92">
        <f t="shared" si="145"/>
        <v>30000</v>
      </c>
      <c r="L229" s="93">
        <f t="shared" si="146"/>
        <v>0</v>
      </c>
      <c r="M229" s="209">
        <f t="shared" si="155"/>
        <v>0</v>
      </c>
      <c r="N229" s="92"/>
      <c r="O229" s="93">
        <v>0</v>
      </c>
      <c r="P229" s="209">
        <f t="shared" si="156"/>
        <v>30000</v>
      </c>
      <c r="Q229" s="92">
        <f t="shared" si="147"/>
        <v>30000</v>
      </c>
      <c r="R229" s="93">
        <f t="shared" si="148"/>
        <v>0</v>
      </c>
      <c r="S229" s="209">
        <f t="shared" si="157"/>
        <v>0</v>
      </c>
      <c r="T229" s="92"/>
      <c r="U229" s="93">
        <v>0</v>
      </c>
      <c r="V229" s="209">
        <f t="shared" si="158"/>
        <v>30000</v>
      </c>
      <c r="W229" s="92">
        <f t="shared" si="149"/>
        <v>30000</v>
      </c>
      <c r="X229" s="93">
        <f t="shared" si="150"/>
        <v>0</v>
      </c>
      <c r="Y229" s="209">
        <f t="shared" si="160"/>
        <v>0</v>
      </c>
      <c r="Z229" s="92"/>
      <c r="AA229" s="93"/>
      <c r="AB229" s="209">
        <f t="shared" si="161"/>
        <v>30000</v>
      </c>
      <c r="AC229" s="92">
        <f t="shared" si="162"/>
        <v>30000</v>
      </c>
      <c r="AD229" s="93">
        <f t="shared" si="163"/>
        <v>0</v>
      </c>
      <c r="AF229" s="46">
        <f t="shared" si="164"/>
        <v>0</v>
      </c>
      <c r="AG229" s="46"/>
    </row>
    <row r="230" spans="1:33" s="9" customFormat="1" ht="16.5" customHeight="1">
      <c r="A230" s="121"/>
      <c r="B230" s="108"/>
      <c r="C230" s="213" t="s">
        <v>165</v>
      </c>
      <c r="D230" s="209">
        <v>389140</v>
      </c>
      <c r="E230" s="92">
        <v>389140</v>
      </c>
      <c r="F230" s="93">
        <v>0</v>
      </c>
      <c r="G230" s="209">
        <f t="shared" si="153"/>
        <v>0</v>
      </c>
      <c r="H230" s="92"/>
      <c r="I230" s="93">
        <v>0</v>
      </c>
      <c r="J230" s="209">
        <f t="shared" si="154"/>
        <v>389140</v>
      </c>
      <c r="K230" s="92">
        <f t="shared" si="145"/>
        <v>389140</v>
      </c>
      <c r="L230" s="93">
        <f t="shared" si="146"/>
        <v>0</v>
      </c>
      <c r="M230" s="209">
        <f t="shared" si="155"/>
        <v>0</v>
      </c>
      <c r="N230" s="92"/>
      <c r="O230" s="93">
        <v>0</v>
      </c>
      <c r="P230" s="209">
        <f t="shared" si="156"/>
        <v>389140</v>
      </c>
      <c r="Q230" s="92">
        <f t="shared" si="147"/>
        <v>389140</v>
      </c>
      <c r="R230" s="93">
        <f t="shared" si="148"/>
        <v>0</v>
      </c>
      <c r="S230" s="209">
        <f t="shared" si="157"/>
        <v>0</v>
      </c>
      <c r="T230" s="92"/>
      <c r="U230" s="93">
        <v>0</v>
      </c>
      <c r="V230" s="209">
        <f t="shared" si="158"/>
        <v>389140</v>
      </c>
      <c r="W230" s="92">
        <f t="shared" si="149"/>
        <v>389140</v>
      </c>
      <c r="X230" s="93">
        <f t="shared" si="150"/>
        <v>0</v>
      </c>
      <c r="Y230" s="209">
        <f t="shared" si="160"/>
        <v>0</v>
      </c>
      <c r="Z230" s="92"/>
      <c r="AA230" s="93"/>
      <c r="AB230" s="209">
        <f t="shared" si="161"/>
        <v>389140</v>
      </c>
      <c r="AC230" s="92">
        <f t="shared" si="162"/>
        <v>389140</v>
      </c>
      <c r="AD230" s="93">
        <f t="shared" si="163"/>
        <v>0</v>
      </c>
      <c r="AF230" s="46">
        <f t="shared" si="164"/>
        <v>0</v>
      </c>
      <c r="AG230" s="46"/>
    </row>
    <row r="231" spans="1:33" s="9" customFormat="1" ht="12" customHeight="1" hidden="1">
      <c r="A231" s="121"/>
      <c r="B231" s="108"/>
      <c r="C231" s="213" t="s">
        <v>166</v>
      </c>
      <c r="D231" s="209">
        <v>0</v>
      </c>
      <c r="E231" s="92">
        <v>0</v>
      </c>
      <c r="F231" s="93">
        <v>0</v>
      </c>
      <c r="G231" s="209">
        <f t="shared" si="153"/>
        <v>0</v>
      </c>
      <c r="H231" s="92"/>
      <c r="I231" s="93">
        <v>0</v>
      </c>
      <c r="J231" s="209">
        <f t="shared" si="154"/>
        <v>0</v>
      </c>
      <c r="K231" s="92">
        <f t="shared" si="145"/>
        <v>0</v>
      </c>
      <c r="L231" s="93">
        <f t="shared" si="146"/>
        <v>0</v>
      </c>
      <c r="M231" s="209">
        <f t="shared" si="155"/>
        <v>0</v>
      </c>
      <c r="N231" s="92"/>
      <c r="O231" s="93">
        <v>0</v>
      </c>
      <c r="P231" s="209">
        <f t="shared" si="156"/>
        <v>0</v>
      </c>
      <c r="Q231" s="92">
        <f t="shared" si="147"/>
        <v>0</v>
      </c>
      <c r="R231" s="93">
        <f t="shared" si="148"/>
        <v>0</v>
      </c>
      <c r="S231" s="209">
        <f t="shared" si="157"/>
        <v>0</v>
      </c>
      <c r="T231" s="92"/>
      <c r="U231" s="93">
        <v>0</v>
      </c>
      <c r="V231" s="209">
        <f t="shared" si="158"/>
        <v>0</v>
      </c>
      <c r="W231" s="92">
        <f t="shared" si="149"/>
        <v>0</v>
      </c>
      <c r="X231" s="93">
        <f t="shared" si="150"/>
        <v>0</v>
      </c>
      <c r="Y231" s="209">
        <f t="shared" si="160"/>
        <v>0</v>
      </c>
      <c r="Z231" s="92"/>
      <c r="AA231" s="93"/>
      <c r="AB231" s="209">
        <f t="shared" si="161"/>
        <v>0</v>
      </c>
      <c r="AC231" s="92">
        <f t="shared" si="162"/>
        <v>0</v>
      </c>
      <c r="AD231" s="93">
        <f t="shared" si="163"/>
        <v>0</v>
      </c>
      <c r="AF231" s="46">
        <f t="shared" si="164"/>
        <v>0</v>
      </c>
      <c r="AG231" s="46"/>
    </row>
    <row r="232" spans="1:33" s="9" customFormat="1" ht="12" customHeight="1" hidden="1">
      <c r="A232" s="121"/>
      <c r="B232" s="108"/>
      <c r="C232" s="213" t="s">
        <v>127</v>
      </c>
      <c r="D232" s="209">
        <v>0</v>
      </c>
      <c r="E232" s="92">
        <v>0</v>
      </c>
      <c r="F232" s="93">
        <v>0</v>
      </c>
      <c r="G232" s="209">
        <f t="shared" si="153"/>
        <v>0</v>
      </c>
      <c r="H232" s="92"/>
      <c r="I232" s="93">
        <v>0</v>
      </c>
      <c r="J232" s="209">
        <f t="shared" si="154"/>
        <v>0</v>
      </c>
      <c r="K232" s="92">
        <f t="shared" si="145"/>
        <v>0</v>
      </c>
      <c r="L232" s="93">
        <f t="shared" si="146"/>
        <v>0</v>
      </c>
      <c r="M232" s="209">
        <f t="shared" si="155"/>
        <v>0</v>
      </c>
      <c r="N232" s="92"/>
      <c r="O232" s="93">
        <v>0</v>
      </c>
      <c r="P232" s="209">
        <f t="shared" si="156"/>
        <v>0</v>
      </c>
      <c r="Q232" s="92">
        <f t="shared" si="147"/>
        <v>0</v>
      </c>
      <c r="R232" s="93">
        <f t="shared" si="148"/>
        <v>0</v>
      </c>
      <c r="S232" s="209">
        <f t="shared" si="157"/>
        <v>0</v>
      </c>
      <c r="T232" s="92"/>
      <c r="U232" s="93">
        <v>0</v>
      </c>
      <c r="V232" s="209">
        <f t="shared" si="158"/>
        <v>0</v>
      </c>
      <c r="W232" s="92">
        <f t="shared" si="149"/>
        <v>0</v>
      </c>
      <c r="X232" s="93">
        <f t="shared" si="150"/>
        <v>0</v>
      </c>
      <c r="Y232" s="209">
        <f t="shared" si="160"/>
        <v>0</v>
      </c>
      <c r="Z232" s="92"/>
      <c r="AA232" s="93"/>
      <c r="AB232" s="209">
        <f t="shared" si="161"/>
        <v>0</v>
      </c>
      <c r="AC232" s="92">
        <f t="shared" si="162"/>
        <v>0</v>
      </c>
      <c r="AD232" s="93">
        <f t="shared" si="163"/>
        <v>0</v>
      </c>
      <c r="AF232" s="46">
        <f t="shared" si="164"/>
        <v>0</v>
      </c>
      <c r="AG232" s="46"/>
    </row>
    <row r="233" spans="1:33" s="147" customFormat="1" ht="12" customHeight="1" hidden="1">
      <c r="A233" s="145"/>
      <c r="B233" s="109"/>
      <c r="C233" s="224" t="s">
        <v>69</v>
      </c>
      <c r="D233" s="252">
        <v>0</v>
      </c>
      <c r="E233" s="264">
        <v>0</v>
      </c>
      <c r="F233" s="283">
        <v>0</v>
      </c>
      <c r="G233" s="252">
        <f t="shared" si="153"/>
        <v>0</v>
      </c>
      <c r="H233" s="264"/>
      <c r="I233" s="283">
        <v>0</v>
      </c>
      <c r="J233" s="252">
        <f t="shared" si="154"/>
        <v>0</v>
      </c>
      <c r="K233" s="264">
        <f t="shared" si="145"/>
        <v>0</v>
      </c>
      <c r="L233" s="283">
        <f t="shared" si="146"/>
        <v>0</v>
      </c>
      <c r="M233" s="252">
        <f t="shared" si="155"/>
        <v>0</v>
      </c>
      <c r="N233" s="264"/>
      <c r="O233" s="283">
        <v>0</v>
      </c>
      <c r="P233" s="252">
        <f t="shared" si="156"/>
        <v>0</v>
      </c>
      <c r="Q233" s="264">
        <f t="shared" si="147"/>
        <v>0</v>
      </c>
      <c r="R233" s="283">
        <f t="shared" si="148"/>
        <v>0</v>
      </c>
      <c r="S233" s="252">
        <f t="shared" si="157"/>
        <v>0</v>
      </c>
      <c r="T233" s="264"/>
      <c r="U233" s="283">
        <v>0</v>
      </c>
      <c r="V233" s="252">
        <f t="shared" si="158"/>
        <v>0</v>
      </c>
      <c r="W233" s="264">
        <f t="shared" si="149"/>
        <v>0</v>
      </c>
      <c r="X233" s="283">
        <f t="shared" si="150"/>
        <v>0</v>
      </c>
      <c r="Y233" s="252">
        <f t="shared" si="160"/>
        <v>0</v>
      </c>
      <c r="Z233" s="264"/>
      <c r="AA233" s="283"/>
      <c r="AB233" s="252">
        <f t="shared" si="161"/>
        <v>0</v>
      </c>
      <c r="AC233" s="264">
        <f t="shared" si="162"/>
        <v>0</v>
      </c>
      <c r="AD233" s="283">
        <f t="shared" si="163"/>
        <v>0</v>
      </c>
      <c r="AF233" s="46">
        <f t="shared" si="164"/>
        <v>0</v>
      </c>
      <c r="AG233" s="46"/>
    </row>
    <row r="234" spans="1:33" s="147" customFormat="1" ht="12.75" customHeight="1">
      <c r="A234" s="145"/>
      <c r="B234" s="126"/>
      <c r="C234" s="132" t="s">
        <v>33</v>
      </c>
      <c r="D234" s="97">
        <v>2000</v>
      </c>
      <c r="E234" s="98">
        <v>2000</v>
      </c>
      <c r="F234" s="99">
        <v>0</v>
      </c>
      <c r="G234" s="97">
        <f t="shared" si="153"/>
        <v>0</v>
      </c>
      <c r="H234" s="98"/>
      <c r="I234" s="99">
        <v>0</v>
      </c>
      <c r="J234" s="97">
        <f t="shared" si="154"/>
        <v>2000</v>
      </c>
      <c r="K234" s="98">
        <f t="shared" si="145"/>
        <v>2000</v>
      </c>
      <c r="L234" s="99">
        <f t="shared" si="146"/>
        <v>0</v>
      </c>
      <c r="M234" s="97">
        <f t="shared" si="155"/>
        <v>0</v>
      </c>
      <c r="N234" s="98"/>
      <c r="O234" s="99">
        <v>0</v>
      </c>
      <c r="P234" s="97">
        <f t="shared" si="156"/>
        <v>2000</v>
      </c>
      <c r="Q234" s="98">
        <f t="shared" si="147"/>
        <v>2000</v>
      </c>
      <c r="R234" s="99">
        <f t="shared" si="148"/>
        <v>0</v>
      </c>
      <c r="S234" s="97">
        <f t="shared" si="157"/>
        <v>0</v>
      </c>
      <c r="T234" s="98"/>
      <c r="U234" s="99">
        <v>0</v>
      </c>
      <c r="V234" s="97">
        <f t="shared" si="158"/>
        <v>2000</v>
      </c>
      <c r="W234" s="98">
        <f t="shared" si="149"/>
        <v>2000</v>
      </c>
      <c r="X234" s="99">
        <f t="shared" si="150"/>
        <v>0</v>
      </c>
      <c r="Y234" s="97">
        <f t="shared" si="160"/>
        <v>0</v>
      </c>
      <c r="Z234" s="98"/>
      <c r="AA234" s="99"/>
      <c r="AB234" s="97">
        <f t="shared" si="161"/>
        <v>2000</v>
      </c>
      <c r="AC234" s="98">
        <f t="shared" si="162"/>
        <v>2000</v>
      </c>
      <c r="AD234" s="99">
        <f t="shared" si="163"/>
        <v>0</v>
      </c>
      <c r="AF234" s="46">
        <f t="shared" si="164"/>
        <v>0</v>
      </c>
      <c r="AG234" s="46"/>
    </row>
    <row r="235" spans="1:33" ht="12.75">
      <c r="A235" s="65"/>
      <c r="B235" s="101">
        <v>853</v>
      </c>
      <c r="C235" s="149" t="s">
        <v>167</v>
      </c>
      <c r="D235" s="103">
        <v>12208333</v>
      </c>
      <c r="E235" s="104">
        <v>11392333</v>
      </c>
      <c r="F235" s="171">
        <v>816000</v>
      </c>
      <c r="G235" s="103">
        <f t="shared" si="153"/>
        <v>0</v>
      </c>
      <c r="H235" s="104">
        <f>H236</f>
        <v>0</v>
      </c>
      <c r="I235" s="171">
        <f>I236</f>
        <v>0</v>
      </c>
      <c r="J235" s="103">
        <f t="shared" si="154"/>
        <v>12208333</v>
      </c>
      <c r="K235" s="104">
        <f>K236</f>
        <v>11392333</v>
      </c>
      <c r="L235" s="171">
        <f>L236</f>
        <v>816000</v>
      </c>
      <c r="M235" s="103">
        <f t="shared" si="155"/>
        <v>0</v>
      </c>
      <c r="N235" s="104">
        <f>N236</f>
        <v>0</v>
      </c>
      <c r="O235" s="171">
        <f>O236</f>
        <v>0</v>
      </c>
      <c r="P235" s="103">
        <f t="shared" si="156"/>
        <v>12208333</v>
      </c>
      <c r="Q235" s="104">
        <f>Q236</f>
        <v>11392333</v>
      </c>
      <c r="R235" s="171">
        <f>R236</f>
        <v>816000</v>
      </c>
      <c r="S235" s="103">
        <f t="shared" si="157"/>
        <v>58146</v>
      </c>
      <c r="T235" s="104">
        <f>T236</f>
        <v>58146</v>
      </c>
      <c r="U235" s="171">
        <f>U236</f>
        <v>0</v>
      </c>
      <c r="V235" s="103">
        <f t="shared" si="158"/>
        <v>12266479</v>
      </c>
      <c r="W235" s="104">
        <f>W236+W238</f>
        <v>11450479</v>
      </c>
      <c r="X235" s="171">
        <f>X236+X238</f>
        <v>816000</v>
      </c>
      <c r="Y235" s="103">
        <f t="shared" si="160"/>
        <v>869300</v>
      </c>
      <c r="Z235" s="104">
        <f>Z236+Z238</f>
        <v>869300</v>
      </c>
      <c r="AA235" s="171">
        <f>AA236+AA238</f>
        <v>0</v>
      </c>
      <c r="AB235" s="103">
        <f t="shared" si="161"/>
        <v>13135779</v>
      </c>
      <c r="AC235" s="104">
        <f>AC236+AC238</f>
        <v>12319779</v>
      </c>
      <c r="AD235" s="171">
        <f>AD236+AD238</f>
        <v>816000</v>
      </c>
      <c r="AF235" s="46">
        <f t="shared" si="164"/>
        <v>0</v>
      </c>
      <c r="AG235" s="46"/>
    </row>
    <row r="236" spans="1:33" ht="12.75">
      <c r="A236" s="65"/>
      <c r="B236" s="140">
        <v>85305</v>
      </c>
      <c r="C236" s="129" t="s">
        <v>168</v>
      </c>
      <c r="D236" s="112">
        <v>12208333</v>
      </c>
      <c r="E236" s="142">
        <v>11392333</v>
      </c>
      <c r="F236" s="178">
        <v>816000</v>
      </c>
      <c r="G236" s="112">
        <f t="shared" si="153"/>
        <v>0</v>
      </c>
      <c r="H236" s="142"/>
      <c r="I236" s="178"/>
      <c r="J236" s="112">
        <f t="shared" si="154"/>
        <v>12208333</v>
      </c>
      <c r="K236" s="142">
        <f>E236+H236</f>
        <v>11392333</v>
      </c>
      <c r="L236" s="178">
        <f>I236+F236</f>
        <v>816000</v>
      </c>
      <c r="M236" s="112">
        <f t="shared" si="155"/>
        <v>0</v>
      </c>
      <c r="N236" s="142"/>
      <c r="O236" s="178"/>
      <c r="P236" s="112">
        <f t="shared" si="156"/>
        <v>12208333</v>
      </c>
      <c r="Q236" s="142">
        <f>K236+N236</f>
        <v>11392333</v>
      </c>
      <c r="R236" s="178">
        <f>O236+L236</f>
        <v>816000</v>
      </c>
      <c r="S236" s="112">
        <f t="shared" si="157"/>
        <v>58146</v>
      </c>
      <c r="T236" s="142">
        <f>14500+43646</f>
        <v>58146</v>
      </c>
      <c r="U236" s="178"/>
      <c r="V236" s="112">
        <f t="shared" si="158"/>
        <v>12266479</v>
      </c>
      <c r="W236" s="142">
        <f>Q236+T236</f>
        <v>11450479</v>
      </c>
      <c r="X236" s="178">
        <f>U236+R236</f>
        <v>816000</v>
      </c>
      <c r="Y236" s="112">
        <f t="shared" si="160"/>
        <v>217000</v>
      </c>
      <c r="Z236" s="142">
        <v>217000</v>
      </c>
      <c r="AA236" s="178"/>
      <c r="AB236" s="112">
        <f t="shared" si="161"/>
        <v>12483479</v>
      </c>
      <c r="AC236" s="142">
        <f>W236+Z236</f>
        <v>11667479</v>
      </c>
      <c r="AD236" s="178">
        <f>AA236+X236</f>
        <v>816000</v>
      </c>
      <c r="AF236" s="46">
        <f t="shared" si="164"/>
        <v>0</v>
      </c>
      <c r="AG236" s="46"/>
    </row>
    <row r="237" spans="1:33" s="100" customFormat="1" ht="12.75">
      <c r="A237" s="94"/>
      <c r="B237" s="126"/>
      <c r="C237" s="96" t="s">
        <v>39</v>
      </c>
      <c r="D237" s="97">
        <v>537340</v>
      </c>
      <c r="E237" s="111">
        <v>537340</v>
      </c>
      <c r="F237" s="284">
        <v>0</v>
      </c>
      <c r="G237" s="97">
        <f t="shared" si="153"/>
        <v>0</v>
      </c>
      <c r="H237" s="111"/>
      <c r="I237" s="284">
        <v>0</v>
      </c>
      <c r="J237" s="97">
        <f t="shared" si="154"/>
        <v>537340</v>
      </c>
      <c r="K237" s="111">
        <f>E237+H237</f>
        <v>537340</v>
      </c>
      <c r="L237" s="284">
        <f>I237+F237</f>
        <v>0</v>
      </c>
      <c r="M237" s="97">
        <f t="shared" si="155"/>
        <v>0</v>
      </c>
      <c r="N237" s="111"/>
      <c r="O237" s="284">
        <v>0</v>
      </c>
      <c r="P237" s="97">
        <f t="shared" si="156"/>
        <v>537340</v>
      </c>
      <c r="Q237" s="111">
        <f>K237+N237</f>
        <v>537340</v>
      </c>
      <c r="R237" s="284">
        <f>O237+L237</f>
        <v>0</v>
      </c>
      <c r="S237" s="97">
        <f t="shared" si="157"/>
        <v>0</v>
      </c>
      <c r="T237" s="111"/>
      <c r="U237" s="284">
        <v>0</v>
      </c>
      <c r="V237" s="97">
        <f t="shared" si="158"/>
        <v>537340</v>
      </c>
      <c r="W237" s="111">
        <f>Q237+T237</f>
        <v>537340</v>
      </c>
      <c r="X237" s="284">
        <f>U237+R237</f>
        <v>0</v>
      </c>
      <c r="Y237" s="97">
        <f t="shared" si="160"/>
        <v>0</v>
      </c>
      <c r="Z237" s="111"/>
      <c r="AA237" s="284"/>
      <c r="AB237" s="97">
        <f t="shared" si="161"/>
        <v>537340</v>
      </c>
      <c r="AC237" s="111">
        <f>W237+Z237</f>
        <v>537340</v>
      </c>
      <c r="AD237" s="284">
        <f>AA237+X237</f>
        <v>0</v>
      </c>
      <c r="AF237" s="46">
        <f t="shared" si="164"/>
        <v>0</v>
      </c>
      <c r="AG237" s="46"/>
    </row>
    <row r="238" spans="1:33" ht="12.75">
      <c r="A238" s="65"/>
      <c r="B238" s="140">
        <v>85395</v>
      </c>
      <c r="C238" s="129" t="s">
        <v>29</v>
      </c>
      <c r="D238" s="112">
        <f>E238+F238</f>
        <v>0</v>
      </c>
      <c r="E238" s="142">
        <v>0</v>
      </c>
      <c r="F238" s="178">
        <v>0</v>
      </c>
      <c r="G238" s="112">
        <f>H238+I238</f>
        <v>0</v>
      </c>
      <c r="H238" s="142"/>
      <c r="I238" s="178"/>
      <c r="J238" s="112">
        <f>K238+L238</f>
        <v>0</v>
      </c>
      <c r="K238" s="142">
        <f>E238+H238</f>
        <v>0</v>
      </c>
      <c r="L238" s="178">
        <f>I238+F238</f>
        <v>0</v>
      </c>
      <c r="M238" s="112">
        <f>N238+O238</f>
        <v>0</v>
      </c>
      <c r="N238" s="142"/>
      <c r="O238" s="178"/>
      <c r="P238" s="112">
        <f>Q238+R238</f>
        <v>0</v>
      </c>
      <c r="Q238" s="142">
        <f>K238+N238</f>
        <v>0</v>
      </c>
      <c r="R238" s="178">
        <f>O238+L238</f>
        <v>0</v>
      </c>
      <c r="S238" s="112">
        <f>T238+U238</f>
        <v>0</v>
      </c>
      <c r="T238" s="142"/>
      <c r="U238" s="178"/>
      <c r="V238" s="112">
        <f>W238+X238</f>
        <v>0</v>
      </c>
      <c r="W238" s="142">
        <f>Q238+T238</f>
        <v>0</v>
      </c>
      <c r="X238" s="178">
        <f>U238+R238</f>
        <v>0</v>
      </c>
      <c r="Y238" s="112">
        <f>Z238+AA238</f>
        <v>652300</v>
      </c>
      <c r="Z238" s="142">
        <f>Z239</f>
        <v>652300</v>
      </c>
      <c r="AA238" s="178"/>
      <c r="AB238" s="112">
        <f>AC238+AD238</f>
        <v>652300</v>
      </c>
      <c r="AC238" s="142">
        <f>W238+Z238</f>
        <v>652300</v>
      </c>
      <c r="AD238" s="178">
        <f>AA238+X238</f>
        <v>0</v>
      </c>
      <c r="AF238" s="46">
        <f>V238-(S238+P238)</f>
        <v>0</v>
      </c>
      <c r="AG238" s="46"/>
    </row>
    <row r="239" spans="1:33" s="100" customFormat="1" ht="12.75">
      <c r="A239" s="94"/>
      <c r="B239" s="126"/>
      <c r="C239" s="96" t="s">
        <v>337</v>
      </c>
      <c r="D239" s="97">
        <f>E239+F239</f>
        <v>0</v>
      </c>
      <c r="E239" s="111"/>
      <c r="F239" s="284">
        <v>0</v>
      </c>
      <c r="G239" s="97">
        <f>H239+I239</f>
        <v>0</v>
      </c>
      <c r="H239" s="111"/>
      <c r="I239" s="284">
        <v>0</v>
      </c>
      <c r="J239" s="97">
        <f>K239+L239</f>
        <v>0</v>
      </c>
      <c r="K239" s="111">
        <f>E239+H239</f>
        <v>0</v>
      </c>
      <c r="L239" s="284">
        <f>I239+F239</f>
        <v>0</v>
      </c>
      <c r="M239" s="97">
        <f>N239+O239</f>
        <v>0</v>
      </c>
      <c r="N239" s="111"/>
      <c r="O239" s="284">
        <v>0</v>
      </c>
      <c r="P239" s="97">
        <f>Q239+R239</f>
        <v>0</v>
      </c>
      <c r="Q239" s="111">
        <f>K239+N239</f>
        <v>0</v>
      </c>
      <c r="R239" s="284">
        <f>O239+L239</f>
        <v>0</v>
      </c>
      <c r="S239" s="97">
        <f>T239+U239</f>
        <v>0</v>
      </c>
      <c r="T239" s="111"/>
      <c r="U239" s="284">
        <v>0</v>
      </c>
      <c r="V239" s="97">
        <f>W239+X239</f>
        <v>0</v>
      </c>
      <c r="W239" s="111">
        <f>Q239+T239</f>
        <v>0</v>
      </c>
      <c r="X239" s="284">
        <f>U239+R239</f>
        <v>0</v>
      </c>
      <c r="Y239" s="97">
        <f>Z239+AA239</f>
        <v>652300</v>
      </c>
      <c r="Z239" s="111">
        <v>652300</v>
      </c>
      <c r="AA239" s="284"/>
      <c r="AB239" s="97">
        <f>AC239+AD239</f>
        <v>652300</v>
      </c>
      <c r="AC239" s="111">
        <f>W239+Z239</f>
        <v>652300</v>
      </c>
      <c r="AD239" s="284">
        <f>AA239+X239</f>
        <v>0</v>
      </c>
      <c r="AF239" s="46">
        <f>V239-(S239+P239)</f>
        <v>0</v>
      </c>
      <c r="AG239" s="46"/>
    </row>
    <row r="240" spans="1:33" ht="12.75">
      <c r="A240" s="65"/>
      <c r="B240" s="133">
        <v>854</v>
      </c>
      <c r="C240" s="134" t="s">
        <v>169</v>
      </c>
      <c r="D240" s="75">
        <v>9017453</v>
      </c>
      <c r="E240" s="76">
        <v>9017453</v>
      </c>
      <c r="F240" s="158">
        <v>0</v>
      </c>
      <c r="G240" s="75">
        <f t="shared" si="153"/>
        <v>0</v>
      </c>
      <c r="H240" s="76">
        <f>H241+H246+H250+H248+H243</f>
        <v>0</v>
      </c>
      <c r="I240" s="158">
        <f>I241+I246+I250+I248+I243</f>
        <v>0</v>
      </c>
      <c r="J240" s="75">
        <f t="shared" si="154"/>
        <v>9017453</v>
      </c>
      <c r="K240" s="76">
        <f>K241+K246+K250+K248+K243</f>
        <v>9017453</v>
      </c>
      <c r="L240" s="158">
        <f>L241+L246+L250+L248+L243</f>
        <v>0</v>
      </c>
      <c r="M240" s="75">
        <f t="shared" si="155"/>
        <v>0</v>
      </c>
      <c r="N240" s="76">
        <f>N241+N246+N250+N248+N243</f>
        <v>0</v>
      </c>
      <c r="O240" s="158">
        <f>O241+O246+O250+O248+O243</f>
        <v>0</v>
      </c>
      <c r="P240" s="75">
        <f t="shared" si="156"/>
        <v>9017453</v>
      </c>
      <c r="Q240" s="76">
        <f>Q241+Q246+Q250+Q248+Q243</f>
        <v>9017453</v>
      </c>
      <c r="R240" s="158">
        <f>R241+R246+R250+R248+R243</f>
        <v>0</v>
      </c>
      <c r="S240" s="75">
        <f t="shared" si="157"/>
        <v>2790019</v>
      </c>
      <c r="T240" s="76">
        <f>T241+T246+T250+T248+T243</f>
        <v>2790019</v>
      </c>
      <c r="U240" s="158">
        <f>U241+U246+U250+U248+U243</f>
        <v>0</v>
      </c>
      <c r="V240" s="75">
        <f t="shared" si="158"/>
        <v>11807472</v>
      </c>
      <c r="W240" s="76">
        <f>W241+W246+W250+W248+W243</f>
        <v>11807472</v>
      </c>
      <c r="X240" s="158">
        <f>X241+X246+X250+X248+X243</f>
        <v>0</v>
      </c>
      <c r="Y240" s="75">
        <f t="shared" si="160"/>
        <v>89932</v>
      </c>
      <c r="Z240" s="76">
        <f>Z241+Z246+Z250+Z248+Z243</f>
        <v>89932</v>
      </c>
      <c r="AA240" s="158">
        <f>AA241+AA246+AA250+AA248+AA243</f>
        <v>0</v>
      </c>
      <c r="AB240" s="75">
        <f t="shared" si="161"/>
        <v>11897404</v>
      </c>
      <c r="AC240" s="76">
        <f>AC241+AC246+AC250+AC248+AC243</f>
        <v>11897404</v>
      </c>
      <c r="AD240" s="158">
        <f>AD241+AD246+AD250+AD248+AD243</f>
        <v>0</v>
      </c>
      <c r="AF240" s="46">
        <f t="shared" si="164"/>
        <v>0</v>
      </c>
      <c r="AG240" s="46"/>
    </row>
    <row r="241" spans="1:33" ht="12.75">
      <c r="A241" s="65"/>
      <c r="B241" s="106">
        <v>85401</v>
      </c>
      <c r="C241" s="83" t="s">
        <v>170</v>
      </c>
      <c r="D241" s="80">
        <v>7657685</v>
      </c>
      <c r="E241" s="81">
        <v>7657685</v>
      </c>
      <c r="F241" s="82">
        <v>0</v>
      </c>
      <c r="G241" s="80">
        <f t="shared" si="153"/>
        <v>0</v>
      </c>
      <c r="H241" s="81">
        <f>H242</f>
        <v>0</v>
      </c>
      <c r="I241" s="82">
        <v>0</v>
      </c>
      <c r="J241" s="80">
        <f t="shared" si="154"/>
        <v>7657685</v>
      </c>
      <c r="K241" s="81">
        <f aca="true" t="shared" si="165" ref="K241:K248">E241+H241</f>
        <v>7657685</v>
      </c>
      <c r="L241" s="82">
        <f aca="true" t="shared" si="166" ref="L241:L248">I241+F241</f>
        <v>0</v>
      </c>
      <c r="M241" s="80">
        <f t="shared" si="155"/>
        <v>0</v>
      </c>
      <c r="N241" s="81">
        <f>N242</f>
        <v>0</v>
      </c>
      <c r="O241" s="82">
        <v>0</v>
      </c>
      <c r="P241" s="80">
        <f t="shared" si="156"/>
        <v>7657685</v>
      </c>
      <c r="Q241" s="81">
        <f aca="true" t="shared" si="167" ref="Q241:Q248">K241+N241</f>
        <v>7657685</v>
      </c>
      <c r="R241" s="82">
        <f aca="true" t="shared" si="168" ref="R241:R248">O241+L241</f>
        <v>0</v>
      </c>
      <c r="S241" s="80">
        <f t="shared" si="157"/>
        <v>811447</v>
      </c>
      <c r="T241" s="81">
        <f>T242</f>
        <v>811447</v>
      </c>
      <c r="U241" s="82">
        <v>0</v>
      </c>
      <c r="V241" s="80">
        <f t="shared" si="158"/>
        <v>8469132</v>
      </c>
      <c r="W241" s="81">
        <f aca="true" t="shared" si="169" ref="W241:W248">Q241+T241</f>
        <v>8469132</v>
      </c>
      <c r="X241" s="82">
        <f aca="true" t="shared" si="170" ref="X241:X248">U241+R241</f>
        <v>0</v>
      </c>
      <c r="Y241" s="80">
        <f t="shared" si="160"/>
        <v>89932</v>
      </c>
      <c r="Z241" s="81">
        <f>Z242</f>
        <v>89932</v>
      </c>
      <c r="AA241" s="82">
        <v>0</v>
      </c>
      <c r="AB241" s="80">
        <f t="shared" si="161"/>
        <v>8559064</v>
      </c>
      <c r="AC241" s="81">
        <f aca="true" t="shared" si="171" ref="AC241:AC248">W241+Z241</f>
        <v>8559064</v>
      </c>
      <c r="AD241" s="82">
        <f aca="true" t="shared" si="172" ref="AD241:AD248">AA241+X241</f>
        <v>0</v>
      </c>
      <c r="AF241" s="46">
        <f t="shared" si="164"/>
        <v>0</v>
      </c>
      <c r="AG241" s="46"/>
    </row>
    <row r="242" spans="1:33" ht="12.75">
      <c r="A242" s="65"/>
      <c r="B242" s="285"/>
      <c r="C242" s="286" t="s">
        <v>115</v>
      </c>
      <c r="D242" s="80">
        <v>7657685</v>
      </c>
      <c r="E242" s="138">
        <v>7657685</v>
      </c>
      <c r="F242" s="82">
        <v>0</v>
      </c>
      <c r="G242" s="80">
        <f t="shared" si="153"/>
        <v>0</v>
      </c>
      <c r="H242" s="138"/>
      <c r="I242" s="82">
        <v>0</v>
      </c>
      <c r="J242" s="80">
        <f t="shared" si="154"/>
        <v>7657685</v>
      </c>
      <c r="K242" s="138">
        <f t="shared" si="165"/>
        <v>7657685</v>
      </c>
      <c r="L242" s="82">
        <f t="shared" si="166"/>
        <v>0</v>
      </c>
      <c r="M242" s="80">
        <f t="shared" si="155"/>
        <v>0</v>
      </c>
      <c r="N242" s="138"/>
      <c r="O242" s="82">
        <v>0</v>
      </c>
      <c r="P242" s="80">
        <f t="shared" si="156"/>
        <v>7657685</v>
      </c>
      <c r="Q242" s="138">
        <f t="shared" si="167"/>
        <v>7657685</v>
      </c>
      <c r="R242" s="82">
        <f t="shared" si="168"/>
        <v>0</v>
      </c>
      <c r="S242" s="80">
        <f t="shared" si="157"/>
        <v>811447</v>
      </c>
      <c r="T242" s="138">
        <v>811447</v>
      </c>
      <c r="U242" s="82">
        <v>0</v>
      </c>
      <c r="V242" s="80">
        <f t="shared" si="158"/>
        <v>8469132</v>
      </c>
      <c r="W242" s="138">
        <f t="shared" si="169"/>
        <v>8469132</v>
      </c>
      <c r="X242" s="82">
        <f t="shared" si="170"/>
        <v>0</v>
      </c>
      <c r="Y242" s="80">
        <f t="shared" si="160"/>
        <v>89932</v>
      </c>
      <c r="Z242" s="138">
        <v>89932</v>
      </c>
      <c r="AA242" s="82"/>
      <c r="AB242" s="80">
        <f t="shared" si="161"/>
        <v>8559064</v>
      </c>
      <c r="AC242" s="138">
        <f t="shared" si="171"/>
        <v>8559064</v>
      </c>
      <c r="AD242" s="82">
        <f t="shared" si="172"/>
        <v>0</v>
      </c>
      <c r="AF242" s="46">
        <f t="shared" si="164"/>
        <v>0</v>
      </c>
      <c r="AG242" s="46"/>
    </row>
    <row r="243" spans="1:33" s="100" customFormat="1" ht="12.75">
      <c r="A243" s="94"/>
      <c r="B243" s="106">
        <v>85404</v>
      </c>
      <c r="C243" s="83" t="s">
        <v>171</v>
      </c>
      <c r="D243" s="80">
        <v>59768</v>
      </c>
      <c r="E243" s="138">
        <v>59768</v>
      </c>
      <c r="F243" s="82">
        <v>0</v>
      </c>
      <c r="G243" s="80">
        <f t="shared" si="153"/>
        <v>0</v>
      </c>
      <c r="H243" s="138">
        <f>H244+H245</f>
        <v>0</v>
      </c>
      <c r="I243" s="82">
        <f>I244+I245</f>
        <v>0</v>
      </c>
      <c r="J243" s="80">
        <f t="shared" si="154"/>
        <v>59768</v>
      </c>
      <c r="K243" s="138">
        <f t="shared" si="165"/>
        <v>59768</v>
      </c>
      <c r="L243" s="82">
        <f t="shared" si="166"/>
        <v>0</v>
      </c>
      <c r="M243" s="80">
        <f t="shared" si="155"/>
        <v>0</v>
      </c>
      <c r="N243" s="138">
        <f>N244+N245</f>
        <v>0</v>
      </c>
      <c r="O243" s="82">
        <f>O244+O245</f>
        <v>0</v>
      </c>
      <c r="P243" s="80">
        <f t="shared" si="156"/>
        <v>59768</v>
      </c>
      <c r="Q243" s="138">
        <f t="shared" si="167"/>
        <v>59768</v>
      </c>
      <c r="R243" s="82">
        <f t="shared" si="168"/>
        <v>0</v>
      </c>
      <c r="S243" s="80">
        <f t="shared" si="157"/>
        <v>1955</v>
      </c>
      <c r="T243" s="138">
        <f>T244+T245</f>
        <v>1955</v>
      </c>
      <c r="U243" s="82">
        <f>U244+U245</f>
        <v>0</v>
      </c>
      <c r="V243" s="80">
        <f t="shared" si="158"/>
        <v>61723</v>
      </c>
      <c r="W243" s="138">
        <f t="shared" si="169"/>
        <v>61723</v>
      </c>
      <c r="X243" s="82">
        <f t="shared" si="170"/>
        <v>0</v>
      </c>
      <c r="Y243" s="80">
        <f t="shared" si="160"/>
        <v>0</v>
      </c>
      <c r="Z243" s="138">
        <f>Z244+Z245</f>
        <v>0</v>
      </c>
      <c r="AA243" s="82">
        <f>AA244+AA245</f>
        <v>0</v>
      </c>
      <c r="AB243" s="80">
        <f t="shared" si="161"/>
        <v>61723</v>
      </c>
      <c r="AC243" s="138">
        <f t="shared" si="171"/>
        <v>61723</v>
      </c>
      <c r="AD243" s="82">
        <f t="shared" si="172"/>
        <v>0</v>
      </c>
      <c r="AF243" s="46">
        <f t="shared" si="164"/>
        <v>0</v>
      </c>
      <c r="AG243" s="46"/>
    </row>
    <row r="244" spans="1:33" s="100" customFormat="1" ht="12.75">
      <c r="A244" s="94"/>
      <c r="B244" s="130"/>
      <c r="C244" s="287" t="s">
        <v>115</v>
      </c>
      <c r="D244" s="88">
        <v>48920</v>
      </c>
      <c r="E244" s="288">
        <v>48920</v>
      </c>
      <c r="F244" s="289">
        <v>0</v>
      </c>
      <c r="G244" s="88">
        <f t="shared" si="153"/>
        <v>0</v>
      </c>
      <c r="H244" s="288"/>
      <c r="I244" s="289">
        <v>0</v>
      </c>
      <c r="J244" s="88">
        <f t="shared" si="154"/>
        <v>48920</v>
      </c>
      <c r="K244" s="288">
        <f t="shared" si="165"/>
        <v>48920</v>
      </c>
      <c r="L244" s="289">
        <f t="shared" si="166"/>
        <v>0</v>
      </c>
      <c r="M244" s="88">
        <f t="shared" si="155"/>
        <v>0</v>
      </c>
      <c r="N244" s="288"/>
      <c r="O244" s="289">
        <v>0</v>
      </c>
      <c r="P244" s="88">
        <f t="shared" si="156"/>
        <v>48920</v>
      </c>
      <c r="Q244" s="288">
        <f t="shared" si="167"/>
        <v>48920</v>
      </c>
      <c r="R244" s="289">
        <f t="shared" si="168"/>
        <v>0</v>
      </c>
      <c r="S244" s="88">
        <f t="shared" si="157"/>
        <v>1955</v>
      </c>
      <c r="T244" s="288">
        <v>1955</v>
      </c>
      <c r="U244" s="289">
        <v>0</v>
      </c>
      <c r="V244" s="88">
        <f t="shared" si="158"/>
        <v>50875</v>
      </c>
      <c r="W244" s="288">
        <f t="shared" si="169"/>
        <v>50875</v>
      </c>
      <c r="X244" s="289">
        <f t="shared" si="170"/>
        <v>0</v>
      </c>
      <c r="Y244" s="88">
        <f t="shared" si="160"/>
        <v>0</v>
      </c>
      <c r="Z244" s="288"/>
      <c r="AA244" s="289"/>
      <c r="AB244" s="88">
        <f t="shared" si="161"/>
        <v>50875</v>
      </c>
      <c r="AC244" s="288">
        <f t="shared" si="171"/>
        <v>50875</v>
      </c>
      <c r="AD244" s="289">
        <f t="shared" si="172"/>
        <v>0</v>
      </c>
      <c r="AF244" s="46">
        <f t="shared" si="164"/>
        <v>0</v>
      </c>
      <c r="AG244" s="46"/>
    </row>
    <row r="245" spans="1:33" s="100" customFormat="1" ht="12.75">
      <c r="A245" s="94"/>
      <c r="B245" s="140"/>
      <c r="C245" s="90" t="s">
        <v>117</v>
      </c>
      <c r="D245" s="112">
        <v>10848</v>
      </c>
      <c r="E245" s="142">
        <v>10848</v>
      </c>
      <c r="F245" s="114">
        <v>0</v>
      </c>
      <c r="G245" s="112">
        <f t="shared" si="153"/>
        <v>0</v>
      </c>
      <c r="H245" s="142"/>
      <c r="I245" s="114">
        <v>0</v>
      </c>
      <c r="J245" s="112">
        <f t="shared" si="154"/>
        <v>10848</v>
      </c>
      <c r="K245" s="142">
        <f t="shared" si="165"/>
        <v>10848</v>
      </c>
      <c r="L245" s="114">
        <f t="shared" si="166"/>
        <v>0</v>
      </c>
      <c r="M245" s="112">
        <f t="shared" si="155"/>
        <v>0</v>
      </c>
      <c r="N245" s="142"/>
      <c r="O245" s="114">
        <v>0</v>
      </c>
      <c r="P245" s="112">
        <f t="shared" si="156"/>
        <v>10848</v>
      </c>
      <c r="Q245" s="142">
        <f t="shared" si="167"/>
        <v>10848</v>
      </c>
      <c r="R245" s="114">
        <f t="shared" si="168"/>
        <v>0</v>
      </c>
      <c r="S245" s="112">
        <f t="shared" si="157"/>
        <v>0</v>
      </c>
      <c r="T245" s="142"/>
      <c r="U245" s="114">
        <v>0</v>
      </c>
      <c r="V245" s="112">
        <f t="shared" si="158"/>
        <v>10848</v>
      </c>
      <c r="W245" s="142">
        <f t="shared" si="169"/>
        <v>10848</v>
      </c>
      <c r="X245" s="114">
        <f t="shared" si="170"/>
        <v>0</v>
      </c>
      <c r="Y245" s="112">
        <f t="shared" si="160"/>
        <v>0</v>
      </c>
      <c r="Z245" s="142"/>
      <c r="AA245" s="114"/>
      <c r="AB245" s="112">
        <f t="shared" si="161"/>
        <v>10848</v>
      </c>
      <c r="AC245" s="142">
        <f t="shared" si="171"/>
        <v>10848</v>
      </c>
      <c r="AD245" s="114">
        <f t="shared" si="172"/>
        <v>0</v>
      </c>
      <c r="AF245" s="46">
        <f t="shared" si="164"/>
        <v>0</v>
      </c>
      <c r="AG245" s="46"/>
    </row>
    <row r="246" spans="1:33" ht="22.5" hidden="1">
      <c r="A246" s="65"/>
      <c r="B246" s="106">
        <v>85412</v>
      </c>
      <c r="C246" s="189" t="s">
        <v>172</v>
      </c>
      <c r="D246" s="80">
        <v>0</v>
      </c>
      <c r="E246" s="138">
        <v>0</v>
      </c>
      <c r="F246" s="82">
        <v>0</v>
      </c>
      <c r="G246" s="80">
        <f t="shared" si="153"/>
        <v>0</v>
      </c>
      <c r="H246" s="138"/>
      <c r="I246" s="82"/>
      <c r="J246" s="80">
        <f t="shared" si="154"/>
        <v>0</v>
      </c>
      <c r="K246" s="138">
        <f t="shared" si="165"/>
        <v>0</v>
      </c>
      <c r="L246" s="82">
        <f t="shared" si="166"/>
        <v>0</v>
      </c>
      <c r="M246" s="80">
        <f t="shared" si="155"/>
        <v>0</v>
      </c>
      <c r="N246" s="138"/>
      <c r="O246" s="82"/>
      <c r="P246" s="80">
        <f t="shared" si="156"/>
        <v>0</v>
      </c>
      <c r="Q246" s="138">
        <f t="shared" si="167"/>
        <v>0</v>
      </c>
      <c r="R246" s="82">
        <f t="shared" si="168"/>
        <v>0</v>
      </c>
      <c r="S246" s="80">
        <f t="shared" si="157"/>
        <v>0</v>
      </c>
      <c r="T246" s="138"/>
      <c r="U246" s="82"/>
      <c r="V246" s="80">
        <f t="shared" si="158"/>
        <v>0</v>
      </c>
      <c r="W246" s="138">
        <f t="shared" si="169"/>
        <v>0</v>
      </c>
      <c r="X246" s="82">
        <f t="shared" si="170"/>
        <v>0</v>
      </c>
      <c r="Y246" s="80">
        <f t="shared" si="160"/>
        <v>0</v>
      </c>
      <c r="Z246" s="138"/>
      <c r="AA246" s="82"/>
      <c r="AB246" s="80">
        <f t="shared" si="161"/>
        <v>0</v>
      </c>
      <c r="AC246" s="138">
        <f t="shared" si="171"/>
        <v>0</v>
      </c>
      <c r="AD246" s="82">
        <f t="shared" si="172"/>
        <v>0</v>
      </c>
      <c r="AF246" s="46">
        <f t="shared" si="164"/>
        <v>0</v>
      </c>
      <c r="AG246" s="46"/>
    </row>
    <row r="247" spans="1:33" s="100" customFormat="1" ht="12.75" hidden="1">
      <c r="A247" s="94"/>
      <c r="B247" s="166"/>
      <c r="C247" s="290" t="s">
        <v>33</v>
      </c>
      <c r="D247" s="80">
        <v>0</v>
      </c>
      <c r="E247" s="138">
        <v>0</v>
      </c>
      <c r="F247" s="82">
        <v>0</v>
      </c>
      <c r="G247" s="80">
        <f t="shared" si="153"/>
        <v>0</v>
      </c>
      <c r="H247" s="138"/>
      <c r="I247" s="82"/>
      <c r="J247" s="80">
        <f t="shared" si="154"/>
        <v>0</v>
      </c>
      <c r="K247" s="138">
        <f t="shared" si="165"/>
        <v>0</v>
      </c>
      <c r="L247" s="82">
        <f t="shared" si="166"/>
        <v>0</v>
      </c>
      <c r="M247" s="80">
        <f t="shared" si="155"/>
        <v>0</v>
      </c>
      <c r="N247" s="138"/>
      <c r="O247" s="82"/>
      <c r="P247" s="80">
        <f t="shared" si="156"/>
        <v>0</v>
      </c>
      <c r="Q247" s="138">
        <f t="shared" si="167"/>
        <v>0</v>
      </c>
      <c r="R247" s="82">
        <f t="shared" si="168"/>
        <v>0</v>
      </c>
      <c r="S247" s="80">
        <f t="shared" si="157"/>
        <v>0</v>
      </c>
      <c r="T247" s="138"/>
      <c r="U247" s="82"/>
      <c r="V247" s="80">
        <f t="shared" si="158"/>
        <v>0</v>
      </c>
      <c r="W247" s="138">
        <f t="shared" si="169"/>
        <v>0</v>
      </c>
      <c r="X247" s="82">
        <f t="shared" si="170"/>
        <v>0</v>
      </c>
      <c r="Y247" s="80">
        <f t="shared" si="160"/>
        <v>0</v>
      </c>
      <c r="Z247" s="138"/>
      <c r="AA247" s="82"/>
      <c r="AB247" s="80">
        <f t="shared" si="161"/>
        <v>0</v>
      </c>
      <c r="AC247" s="138">
        <f t="shared" si="171"/>
        <v>0</v>
      </c>
      <c r="AD247" s="82">
        <f t="shared" si="172"/>
        <v>0</v>
      </c>
      <c r="AF247" s="46">
        <f t="shared" si="164"/>
        <v>0</v>
      </c>
      <c r="AG247" s="46"/>
    </row>
    <row r="248" spans="1:33" ht="12.75">
      <c r="A248" s="65"/>
      <c r="B248" s="106">
        <v>85415</v>
      </c>
      <c r="C248" s="83" t="s">
        <v>173</v>
      </c>
      <c r="D248" s="80">
        <v>1300000</v>
      </c>
      <c r="E248" s="138">
        <v>1300000</v>
      </c>
      <c r="F248" s="82">
        <v>0</v>
      </c>
      <c r="G248" s="80">
        <f t="shared" si="153"/>
        <v>0</v>
      </c>
      <c r="H248" s="138"/>
      <c r="I248" s="82">
        <v>0</v>
      </c>
      <c r="J248" s="80">
        <f t="shared" si="154"/>
        <v>1300000</v>
      </c>
      <c r="K248" s="138">
        <f t="shared" si="165"/>
        <v>1300000</v>
      </c>
      <c r="L248" s="82">
        <f t="shared" si="166"/>
        <v>0</v>
      </c>
      <c r="M248" s="80">
        <f t="shared" si="155"/>
        <v>0</v>
      </c>
      <c r="N248" s="138"/>
      <c r="O248" s="82">
        <v>0</v>
      </c>
      <c r="P248" s="80">
        <f t="shared" si="156"/>
        <v>1300000</v>
      </c>
      <c r="Q248" s="138">
        <f t="shared" si="167"/>
        <v>1300000</v>
      </c>
      <c r="R248" s="82">
        <f t="shared" si="168"/>
        <v>0</v>
      </c>
      <c r="S248" s="80">
        <f t="shared" si="157"/>
        <v>1976617</v>
      </c>
      <c r="T248" s="138">
        <f>T249+27895+134</f>
        <v>1976617</v>
      </c>
      <c r="U248" s="82">
        <v>0</v>
      </c>
      <c r="V248" s="80">
        <f t="shared" si="158"/>
        <v>3276617</v>
      </c>
      <c r="W248" s="138">
        <f t="shared" si="169"/>
        <v>3276617</v>
      </c>
      <c r="X248" s="82">
        <f t="shared" si="170"/>
        <v>0</v>
      </c>
      <c r="Y248" s="80">
        <f t="shared" si="160"/>
        <v>0</v>
      </c>
      <c r="Z248" s="138">
        <f>Z249</f>
        <v>0</v>
      </c>
      <c r="AA248" s="82">
        <v>0</v>
      </c>
      <c r="AB248" s="80">
        <f t="shared" si="161"/>
        <v>3276617</v>
      </c>
      <c r="AC248" s="138">
        <f t="shared" si="171"/>
        <v>3276617</v>
      </c>
      <c r="AD248" s="82">
        <f t="shared" si="172"/>
        <v>0</v>
      </c>
      <c r="AF248" s="46">
        <f t="shared" si="164"/>
        <v>0</v>
      </c>
      <c r="AG248" s="46"/>
    </row>
    <row r="249" spans="1:33" ht="12.75">
      <c r="A249" s="65"/>
      <c r="B249" s="106"/>
      <c r="C249" s="83" t="s">
        <v>174</v>
      </c>
      <c r="D249" s="80">
        <v>0</v>
      </c>
      <c r="E249" s="81"/>
      <c r="F249" s="82"/>
      <c r="G249" s="80">
        <f t="shared" si="153"/>
        <v>0</v>
      </c>
      <c r="H249" s="81"/>
      <c r="I249" s="82"/>
      <c r="J249" s="80">
        <f t="shared" si="154"/>
        <v>0</v>
      </c>
      <c r="K249" s="81"/>
      <c r="L249" s="82"/>
      <c r="M249" s="80">
        <f t="shared" si="155"/>
        <v>0</v>
      </c>
      <c r="N249" s="81"/>
      <c r="O249" s="82"/>
      <c r="P249" s="80">
        <f t="shared" si="156"/>
        <v>0</v>
      </c>
      <c r="Q249" s="81"/>
      <c r="R249" s="82"/>
      <c r="S249" s="80">
        <f t="shared" si="157"/>
        <v>1948588</v>
      </c>
      <c r="T249" s="81">
        <v>1948588</v>
      </c>
      <c r="U249" s="82"/>
      <c r="V249" s="80">
        <f t="shared" si="158"/>
        <v>1948588</v>
      </c>
      <c r="W249" s="138">
        <f>Q249+T249</f>
        <v>1948588</v>
      </c>
      <c r="X249" s="82">
        <f>U249+R249</f>
        <v>0</v>
      </c>
      <c r="Y249" s="80">
        <f t="shared" si="160"/>
        <v>0</v>
      </c>
      <c r="Z249" s="81"/>
      <c r="AA249" s="82"/>
      <c r="AB249" s="80">
        <f t="shared" si="161"/>
        <v>1948588</v>
      </c>
      <c r="AC249" s="138">
        <f>W249+Z249</f>
        <v>1948588</v>
      </c>
      <c r="AD249" s="82">
        <f>AA249+X249</f>
        <v>0</v>
      </c>
      <c r="AF249" s="46">
        <f t="shared" si="164"/>
        <v>0</v>
      </c>
      <c r="AG249" s="46"/>
    </row>
    <row r="250" spans="1:33" ht="12.75" customHeight="1" hidden="1">
      <c r="A250" s="65"/>
      <c r="B250" s="140">
        <v>85495</v>
      </c>
      <c r="C250" s="292" t="s">
        <v>29</v>
      </c>
      <c r="D250" s="112">
        <v>0</v>
      </c>
      <c r="E250" s="113">
        <v>0</v>
      </c>
      <c r="F250" s="114">
        <v>0</v>
      </c>
      <c r="G250" s="112">
        <f t="shared" si="153"/>
        <v>0</v>
      </c>
      <c r="H250" s="113">
        <f>H251</f>
        <v>0</v>
      </c>
      <c r="I250" s="114">
        <f>I251</f>
        <v>0</v>
      </c>
      <c r="J250" s="112">
        <f t="shared" si="154"/>
        <v>0</v>
      </c>
      <c r="K250" s="113">
        <f>K251</f>
        <v>0</v>
      </c>
      <c r="L250" s="114">
        <f>L251</f>
        <v>0</v>
      </c>
      <c r="M250" s="112">
        <f t="shared" si="155"/>
        <v>0</v>
      </c>
      <c r="N250" s="113">
        <f>N251</f>
        <v>0</v>
      </c>
      <c r="O250" s="114">
        <f>O251</f>
        <v>0</v>
      </c>
      <c r="P250" s="112">
        <f t="shared" si="156"/>
        <v>0</v>
      </c>
      <c r="Q250" s="113">
        <f>Q251</f>
        <v>0</v>
      </c>
      <c r="R250" s="114">
        <f>R251</f>
        <v>0</v>
      </c>
      <c r="S250" s="112">
        <f t="shared" si="157"/>
        <v>0</v>
      </c>
      <c r="T250" s="113">
        <f>T251</f>
        <v>0</v>
      </c>
      <c r="U250" s="114">
        <f>U251</f>
        <v>0</v>
      </c>
      <c r="V250" s="112">
        <f t="shared" si="158"/>
        <v>0</v>
      </c>
      <c r="W250" s="113">
        <f>W251</f>
        <v>0</v>
      </c>
      <c r="X250" s="114">
        <f>X251</f>
        <v>0</v>
      </c>
      <c r="Y250" s="112">
        <f t="shared" si="160"/>
        <v>0</v>
      </c>
      <c r="Z250" s="113">
        <f>Z251</f>
        <v>0</v>
      </c>
      <c r="AA250" s="114">
        <f>AA251</f>
        <v>0</v>
      </c>
      <c r="AB250" s="112">
        <f t="shared" si="161"/>
        <v>0</v>
      </c>
      <c r="AC250" s="113">
        <f>AC251</f>
        <v>0</v>
      </c>
      <c r="AD250" s="114">
        <f>AD251</f>
        <v>0</v>
      </c>
      <c r="AF250" s="46">
        <f t="shared" si="164"/>
        <v>0</v>
      </c>
      <c r="AG250" s="46"/>
    </row>
    <row r="251" spans="1:33" s="100" customFormat="1" ht="12.75" customHeight="1" hidden="1">
      <c r="A251" s="94"/>
      <c r="B251" s="126"/>
      <c r="C251" s="290" t="s">
        <v>175</v>
      </c>
      <c r="D251" s="97">
        <v>0</v>
      </c>
      <c r="E251" s="98">
        <v>0</v>
      </c>
      <c r="F251" s="293">
        <v>0</v>
      </c>
      <c r="G251" s="97">
        <f t="shared" si="153"/>
        <v>0</v>
      </c>
      <c r="H251" s="98">
        <v>0</v>
      </c>
      <c r="I251" s="293">
        <v>0</v>
      </c>
      <c r="J251" s="97">
        <f t="shared" si="154"/>
        <v>0</v>
      </c>
      <c r="K251" s="98">
        <v>0</v>
      </c>
      <c r="L251" s="293">
        <v>0</v>
      </c>
      <c r="M251" s="97">
        <f t="shared" si="155"/>
        <v>0</v>
      </c>
      <c r="N251" s="98">
        <v>0</v>
      </c>
      <c r="O251" s="293">
        <v>0</v>
      </c>
      <c r="P251" s="97">
        <f t="shared" si="156"/>
        <v>0</v>
      </c>
      <c r="Q251" s="98">
        <v>0</v>
      </c>
      <c r="R251" s="293">
        <v>0</v>
      </c>
      <c r="S251" s="97">
        <f t="shared" si="157"/>
        <v>0</v>
      </c>
      <c r="T251" s="98">
        <v>0</v>
      </c>
      <c r="U251" s="293">
        <v>0</v>
      </c>
      <c r="V251" s="97">
        <f t="shared" si="158"/>
        <v>0</v>
      </c>
      <c r="W251" s="98">
        <v>0</v>
      </c>
      <c r="X251" s="293">
        <v>0</v>
      </c>
      <c r="Y251" s="97">
        <f t="shared" si="160"/>
        <v>0</v>
      </c>
      <c r="Z251" s="98">
        <v>0</v>
      </c>
      <c r="AA251" s="293">
        <v>0</v>
      </c>
      <c r="AB251" s="97">
        <f t="shared" si="161"/>
        <v>0</v>
      </c>
      <c r="AC251" s="98">
        <v>0</v>
      </c>
      <c r="AD251" s="293">
        <v>0</v>
      </c>
      <c r="AF251" s="46">
        <f t="shared" si="164"/>
        <v>0</v>
      </c>
      <c r="AG251" s="46"/>
    </row>
    <row r="252" spans="1:33" ht="12" customHeight="1">
      <c r="A252" s="65"/>
      <c r="B252" s="101">
        <v>900</v>
      </c>
      <c r="C252" s="149" t="s">
        <v>176</v>
      </c>
      <c r="D252" s="103">
        <v>127310713</v>
      </c>
      <c r="E252" s="104">
        <v>48594169</v>
      </c>
      <c r="F252" s="171">
        <v>78716544</v>
      </c>
      <c r="G252" s="103">
        <f t="shared" si="153"/>
        <v>1885248</v>
      </c>
      <c r="H252" s="104">
        <f>H253+H258+H262+H266+H269+H271+H274</f>
        <v>155248</v>
      </c>
      <c r="I252" s="171">
        <f>I253+I258+I262+I266+I269+I271+I274</f>
        <v>1730000</v>
      </c>
      <c r="J252" s="103">
        <f t="shared" si="154"/>
        <v>129195961</v>
      </c>
      <c r="K252" s="104">
        <f>K253+K258+K262+K266+K269+K271+K274</f>
        <v>48749417</v>
      </c>
      <c r="L252" s="171">
        <f>L253+L258+L262+L266+L269+L271+L274</f>
        <v>80446544</v>
      </c>
      <c r="M252" s="103">
        <f t="shared" si="155"/>
        <v>0</v>
      </c>
      <c r="N252" s="104">
        <f>N253+N258+N262+N266+N269+N271+N274</f>
        <v>0</v>
      </c>
      <c r="O252" s="171">
        <f>O253+O258+O262+O266+O269+O271+O274</f>
        <v>0</v>
      </c>
      <c r="P252" s="103">
        <f t="shared" si="156"/>
        <v>129195961</v>
      </c>
      <c r="Q252" s="104">
        <f>Q253+Q258+Q262+Q266+Q269+Q271+Q274</f>
        <v>48749417</v>
      </c>
      <c r="R252" s="171">
        <f>R253+R258+R262+R266+R269+R271+R274</f>
        <v>80446544</v>
      </c>
      <c r="S252" s="103">
        <f t="shared" si="157"/>
        <v>-41304542</v>
      </c>
      <c r="T252" s="104">
        <f>T253+T258+T262+T266+T269+T271+T274</f>
        <v>5470566</v>
      </c>
      <c r="U252" s="171">
        <f>U253+U258+U262+U266+U269+U271+U274</f>
        <v>-46775108</v>
      </c>
      <c r="V252" s="103">
        <f t="shared" si="158"/>
        <v>87891419</v>
      </c>
      <c r="W252" s="104">
        <f>W253+W258+W262+W266+W269+W271+W274</f>
        <v>54219983</v>
      </c>
      <c r="X252" s="171">
        <f>X253+X258+X262+X266+X269+X271+X274</f>
        <v>33671436</v>
      </c>
      <c r="Y252" s="103">
        <f t="shared" si="160"/>
        <v>15000</v>
      </c>
      <c r="Z252" s="104">
        <f>Z253+Z258+Z262+Z266+Z269+Z271+Z274</f>
        <v>15000</v>
      </c>
      <c r="AA252" s="171">
        <f>AA253+AA258+AA262+AA266+AA269+AA271+AA274</f>
        <v>0</v>
      </c>
      <c r="AB252" s="103">
        <f t="shared" si="161"/>
        <v>87906419</v>
      </c>
      <c r="AC252" s="104">
        <f>AC253+AC258+AC262+AC266+AC269+AC271+AC274</f>
        <v>54234983</v>
      </c>
      <c r="AD252" s="171">
        <f>AD253+AD258+AD262+AD266+AD269+AD271+AD274</f>
        <v>33671436</v>
      </c>
      <c r="AF252" s="46">
        <f t="shared" si="164"/>
        <v>0</v>
      </c>
      <c r="AG252" s="46"/>
    </row>
    <row r="253" spans="1:33" ht="12.75">
      <c r="A253" s="65"/>
      <c r="B253" s="140">
        <v>90001</v>
      </c>
      <c r="C253" s="221" t="s">
        <v>177</v>
      </c>
      <c r="D253" s="112">
        <v>56022782</v>
      </c>
      <c r="E253" s="113">
        <v>1545000</v>
      </c>
      <c r="F253" s="114">
        <v>54477782</v>
      </c>
      <c r="G253" s="112">
        <f t="shared" si="153"/>
        <v>665000</v>
      </c>
      <c r="H253" s="113">
        <f>H254+H256+H257</f>
        <v>-135000</v>
      </c>
      <c r="I253" s="114">
        <f>I254+I256+I257</f>
        <v>800000</v>
      </c>
      <c r="J253" s="112">
        <f t="shared" si="154"/>
        <v>56687782</v>
      </c>
      <c r="K253" s="113">
        <f aca="true" t="shared" si="173" ref="K253:K279">E253+H253</f>
        <v>1410000</v>
      </c>
      <c r="L253" s="114">
        <f aca="true" t="shared" si="174" ref="L253:L279">I253+F253</f>
        <v>55277782</v>
      </c>
      <c r="M253" s="112">
        <f t="shared" si="155"/>
        <v>0</v>
      </c>
      <c r="N253" s="113">
        <f>N254+N256+N257</f>
        <v>0</v>
      </c>
      <c r="O253" s="114">
        <f>O254+O256+O257</f>
        <v>0</v>
      </c>
      <c r="P253" s="112">
        <f t="shared" si="156"/>
        <v>56687782</v>
      </c>
      <c r="Q253" s="113">
        <f aca="true" t="shared" si="175" ref="Q253:Q279">K253+N253</f>
        <v>1410000</v>
      </c>
      <c r="R253" s="114">
        <f aca="true" t="shared" si="176" ref="R253:R279">O253+L253</f>
        <v>55277782</v>
      </c>
      <c r="S253" s="112">
        <f t="shared" si="157"/>
        <v>-46725982</v>
      </c>
      <c r="T253" s="113">
        <f>T254+T256+T257</f>
        <v>250000</v>
      </c>
      <c r="U253" s="114">
        <f>U254+U256+U257</f>
        <v>-46975982</v>
      </c>
      <c r="V253" s="112">
        <f t="shared" si="158"/>
        <v>9961800</v>
      </c>
      <c r="W253" s="113">
        <f aca="true" t="shared" si="177" ref="W253:W279">Q253+T253</f>
        <v>1660000</v>
      </c>
      <c r="X253" s="114">
        <f aca="true" t="shared" si="178" ref="X253:X279">U253+R253</f>
        <v>8301800</v>
      </c>
      <c r="Y253" s="112">
        <f t="shared" si="160"/>
        <v>-25000</v>
      </c>
      <c r="Z253" s="113">
        <f>Z254+Z256+Z257</f>
        <v>-25000</v>
      </c>
      <c r="AA253" s="114">
        <f>AA254+AA256+AA257</f>
        <v>0</v>
      </c>
      <c r="AB253" s="112">
        <f t="shared" si="161"/>
        <v>9936800</v>
      </c>
      <c r="AC253" s="113">
        <f aca="true" t="shared" si="179" ref="AC253:AC279">W253+Z253</f>
        <v>1635000</v>
      </c>
      <c r="AD253" s="114">
        <f aca="true" t="shared" si="180" ref="AD253:AD279">AA253+X253</f>
        <v>8301800</v>
      </c>
      <c r="AF253" s="46">
        <f t="shared" si="164"/>
        <v>0</v>
      </c>
      <c r="AG253" s="46"/>
    </row>
    <row r="254" spans="1:33" ht="12.75">
      <c r="A254" s="65"/>
      <c r="B254" s="108"/>
      <c r="C254" s="90" t="s">
        <v>178</v>
      </c>
      <c r="D254" s="117">
        <v>51477782</v>
      </c>
      <c r="E254" s="92">
        <v>0</v>
      </c>
      <c r="F254" s="186">
        <v>51477782</v>
      </c>
      <c r="G254" s="117">
        <f t="shared" si="153"/>
        <v>800000</v>
      </c>
      <c r="H254" s="92">
        <v>0</v>
      </c>
      <c r="I254" s="186">
        <v>800000</v>
      </c>
      <c r="J254" s="117">
        <f t="shared" si="154"/>
        <v>52277782</v>
      </c>
      <c r="K254" s="92">
        <f t="shared" si="173"/>
        <v>0</v>
      </c>
      <c r="L254" s="186">
        <f t="shared" si="174"/>
        <v>52277782</v>
      </c>
      <c r="M254" s="117">
        <f t="shared" si="155"/>
        <v>0</v>
      </c>
      <c r="N254" s="92">
        <v>0</v>
      </c>
      <c r="O254" s="186">
        <v>0</v>
      </c>
      <c r="P254" s="117">
        <f t="shared" si="156"/>
        <v>52277782</v>
      </c>
      <c r="Q254" s="92">
        <f t="shared" si="175"/>
        <v>0</v>
      </c>
      <c r="R254" s="186">
        <f t="shared" si="176"/>
        <v>52277782</v>
      </c>
      <c r="S254" s="117">
        <f t="shared" si="157"/>
        <v>-46975982</v>
      </c>
      <c r="T254" s="92">
        <v>0</v>
      </c>
      <c r="U254" s="186">
        <f>U255</f>
        <v>-46975982</v>
      </c>
      <c r="V254" s="117">
        <f t="shared" si="158"/>
        <v>5301800</v>
      </c>
      <c r="W254" s="92">
        <f t="shared" si="177"/>
        <v>0</v>
      </c>
      <c r="X254" s="186">
        <f t="shared" si="178"/>
        <v>5301800</v>
      </c>
      <c r="Y254" s="117">
        <f t="shared" si="160"/>
        <v>0</v>
      </c>
      <c r="Z254" s="92"/>
      <c r="AA254" s="186"/>
      <c r="AB254" s="117">
        <f t="shared" si="161"/>
        <v>5301800</v>
      </c>
      <c r="AC254" s="92">
        <f t="shared" si="179"/>
        <v>0</v>
      </c>
      <c r="AD254" s="186">
        <f t="shared" si="180"/>
        <v>5301800</v>
      </c>
      <c r="AF254" s="46">
        <f t="shared" si="164"/>
        <v>0</v>
      </c>
      <c r="AG254" s="46"/>
    </row>
    <row r="255" spans="1:33" s="100" customFormat="1" ht="11.25" customHeight="1">
      <c r="A255" s="94"/>
      <c r="B255" s="109"/>
      <c r="C255" s="110" t="s">
        <v>42</v>
      </c>
      <c r="D255" s="123">
        <v>46975982</v>
      </c>
      <c r="E255" s="264">
        <v>0</v>
      </c>
      <c r="F255" s="237">
        <v>46975982</v>
      </c>
      <c r="G255" s="123">
        <f t="shared" si="153"/>
        <v>0</v>
      </c>
      <c r="H255" s="264">
        <v>0</v>
      </c>
      <c r="I255" s="237"/>
      <c r="J255" s="123">
        <f t="shared" si="154"/>
        <v>46975982</v>
      </c>
      <c r="K255" s="264">
        <f t="shared" si="173"/>
        <v>0</v>
      </c>
      <c r="L255" s="237">
        <f t="shared" si="174"/>
        <v>46975982</v>
      </c>
      <c r="M255" s="123">
        <f t="shared" si="155"/>
        <v>0</v>
      </c>
      <c r="N255" s="264">
        <v>0</v>
      </c>
      <c r="O255" s="237"/>
      <c r="P255" s="123">
        <f t="shared" si="156"/>
        <v>46975982</v>
      </c>
      <c r="Q255" s="264">
        <f t="shared" si="175"/>
        <v>0</v>
      </c>
      <c r="R255" s="237">
        <f t="shared" si="176"/>
        <v>46975982</v>
      </c>
      <c r="S255" s="123">
        <f t="shared" si="157"/>
        <v>-46975982</v>
      </c>
      <c r="T255" s="264">
        <v>0</v>
      </c>
      <c r="U255" s="237">
        <v>-46975982</v>
      </c>
      <c r="V255" s="123">
        <f t="shared" si="158"/>
        <v>0</v>
      </c>
      <c r="W255" s="264">
        <f t="shared" si="177"/>
        <v>0</v>
      </c>
      <c r="X255" s="237">
        <f t="shared" si="178"/>
        <v>0</v>
      </c>
      <c r="Y255" s="123">
        <f t="shared" si="160"/>
        <v>0</v>
      </c>
      <c r="Z255" s="264"/>
      <c r="AA255" s="237"/>
      <c r="AB255" s="123">
        <f t="shared" si="161"/>
        <v>0</v>
      </c>
      <c r="AC255" s="264">
        <f t="shared" si="179"/>
        <v>0</v>
      </c>
      <c r="AD255" s="237">
        <f t="shared" si="180"/>
        <v>0</v>
      </c>
      <c r="AF255" s="46">
        <f t="shared" si="164"/>
        <v>0</v>
      </c>
      <c r="AG255" s="46"/>
    </row>
    <row r="256" spans="1:33" ht="12.75">
      <c r="A256" s="65"/>
      <c r="B256" s="108"/>
      <c r="C256" s="90" t="s">
        <v>179</v>
      </c>
      <c r="D256" s="117">
        <v>1545000</v>
      </c>
      <c r="E256" s="92">
        <v>1545000</v>
      </c>
      <c r="F256" s="186">
        <v>0</v>
      </c>
      <c r="G256" s="117">
        <f t="shared" si="153"/>
        <v>-135000</v>
      </c>
      <c r="H256" s="92">
        <v>-135000</v>
      </c>
      <c r="I256" s="186">
        <v>0</v>
      </c>
      <c r="J256" s="117">
        <f t="shared" si="154"/>
        <v>1410000</v>
      </c>
      <c r="K256" s="92">
        <f t="shared" si="173"/>
        <v>1410000</v>
      </c>
      <c r="L256" s="186">
        <f t="shared" si="174"/>
        <v>0</v>
      </c>
      <c r="M256" s="117">
        <f t="shared" si="155"/>
        <v>0</v>
      </c>
      <c r="N256" s="92">
        <v>0</v>
      </c>
      <c r="O256" s="186">
        <v>0</v>
      </c>
      <c r="P256" s="117">
        <f t="shared" si="156"/>
        <v>1410000</v>
      </c>
      <c r="Q256" s="92">
        <f t="shared" si="175"/>
        <v>1410000</v>
      </c>
      <c r="R256" s="186">
        <f t="shared" si="176"/>
        <v>0</v>
      </c>
      <c r="S256" s="117">
        <f t="shared" si="157"/>
        <v>250000</v>
      </c>
      <c r="T256" s="92">
        <f>25000+25000+200000</f>
        <v>250000</v>
      </c>
      <c r="U256" s="186">
        <v>0</v>
      </c>
      <c r="V256" s="117">
        <f t="shared" si="158"/>
        <v>1660000</v>
      </c>
      <c r="W256" s="92">
        <f t="shared" si="177"/>
        <v>1660000</v>
      </c>
      <c r="X256" s="186">
        <f t="shared" si="178"/>
        <v>0</v>
      </c>
      <c r="Y256" s="117">
        <f t="shared" si="160"/>
        <v>-25000</v>
      </c>
      <c r="Z256" s="92">
        <v>-25000</v>
      </c>
      <c r="AA256" s="186"/>
      <c r="AB256" s="117">
        <f t="shared" si="161"/>
        <v>1635000</v>
      </c>
      <c r="AC256" s="92">
        <f t="shared" si="179"/>
        <v>1635000</v>
      </c>
      <c r="AD256" s="186">
        <f t="shared" si="180"/>
        <v>0</v>
      </c>
      <c r="AF256" s="46">
        <f t="shared" si="164"/>
        <v>0</v>
      </c>
      <c r="AG256" s="46"/>
    </row>
    <row r="257" spans="1:33" ht="13.5" thickBot="1">
      <c r="A257" s="65"/>
      <c r="B257" s="442"/>
      <c r="C257" s="443" t="s">
        <v>43</v>
      </c>
      <c r="D257" s="444">
        <v>3000000</v>
      </c>
      <c r="E257" s="445">
        <v>0</v>
      </c>
      <c r="F257" s="446">
        <v>3000000</v>
      </c>
      <c r="G257" s="444">
        <f t="shared" si="153"/>
        <v>0</v>
      </c>
      <c r="H257" s="445">
        <v>0</v>
      </c>
      <c r="I257" s="446"/>
      <c r="J257" s="444">
        <f t="shared" si="154"/>
        <v>3000000</v>
      </c>
      <c r="K257" s="445">
        <f t="shared" si="173"/>
        <v>0</v>
      </c>
      <c r="L257" s="446">
        <f t="shared" si="174"/>
        <v>3000000</v>
      </c>
      <c r="M257" s="444">
        <f t="shared" si="155"/>
        <v>0</v>
      </c>
      <c r="N257" s="445">
        <v>0</v>
      </c>
      <c r="O257" s="446"/>
      <c r="P257" s="444">
        <f t="shared" si="156"/>
        <v>3000000</v>
      </c>
      <c r="Q257" s="445">
        <f t="shared" si="175"/>
        <v>0</v>
      </c>
      <c r="R257" s="446">
        <f t="shared" si="176"/>
        <v>3000000</v>
      </c>
      <c r="S257" s="444">
        <f t="shared" si="157"/>
        <v>0</v>
      </c>
      <c r="T257" s="445">
        <v>0</v>
      </c>
      <c r="U257" s="446"/>
      <c r="V257" s="444">
        <f t="shared" si="158"/>
        <v>3000000</v>
      </c>
      <c r="W257" s="445">
        <f t="shared" si="177"/>
        <v>0</v>
      </c>
      <c r="X257" s="446">
        <f t="shared" si="178"/>
        <v>3000000</v>
      </c>
      <c r="Y257" s="444">
        <f t="shared" si="160"/>
        <v>0</v>
      </c>
      <c r="Z257" s="445"/>
      <c r="AA257" s="446"/>
      <c r="AB257" s="444">
        <f t="shared" si="161"/>
        <v>3000000</v>
      </c>
      <c r="AC257" s="445">
        <f t="shared" si="179"/>
        <v>0</v>
      </c>
      <c r="AD257" s="446">
        <f t="shared" si="180"/>
        <v>3000000</v>
      </c>
      <c r="AF257" s="46">
        <f t="shared" si="164"/>
        <v>0</v>
      </c>
      <c r="AG257" s="46"/>
    </row>
    <row r="258" spans="1:33" ht="12.75">
      <c r="A258" s="65"/>
      <c r="B258" s="140">
        <v>90002</v>
      </c>
      <c r="C258" s="221" t="s">
        <v>180</v>
      </c>
      <c r="D258" s="112">
        <v>18380000</v>
      </c>
      <c r="E258" s="113">
        <v>1150000</v>
      </c>
      <c r="F258" s="114">
        <v>17230000</v>
      </c>
      <c r="G258" s="112">
        <f t="shared" si="153"/>
        <v>0</v>
      </c>
      <c r="H258" s="113"/>
      <c r="I258" s="114"/>
      <c r="J258" s="112">
        <f t="shared" si="154"/>
        <v>18380000</v>
      </c>
      <c r="K258" s="113">
        <f t="shared" si="173"/>
        <v>1150000</v>
      </c>
      <c r="L258" s="114">
        <f t="shared" si="174"/>
        <v>17230000</v>
      </c>
      <c r="M258" s="112">
        <f t="shared" si="155"/>
        <v>0</v>
      </c>
      <c r="N258" s="113"/>
      <c r="O258" s="114"/>
      <c r="P258" s="112">
        <f t="shared" si="156"/>
        <v>18380000</v>
      </c>
      <c r="Q258" s="113">
        <f t="shared" si="175"/>
        <v>1150000</v>
      </c>
      <c r="R258" s="114">
        <f t="shared" si="176"/>
        <v>17230000</v>
      </c>
      <c r="S258" s="112">
        <f t="shared" si="157"/>
        <v>0</v>
      </c>
      <c r="T258" s="113"/>
      <c r="U258" s="114"/>
      <c r="V258" s="112">
        <f t="shared" si="158"/>
        <v>18380000</v>
      </c>
      <c r="W258" s="113">
        <f t="shared" si="177"/>
        <v>1150000</v>
      </c>
      <c r="X258" s="114">
        <f t="shared" si="178"/>
        <v>17230000</v>
      </c>
      <c r="Y258" s="112">
        <f t="shared" si="160"/>
        <v>0</v>
      </c>
      <c r="Z258" s="113"/>
      <c r="AA258" s="114"/>
      <c r="AB258" s="112">
        <f t="shared" si="161"/>
        <v>18380000</v>
      </c>
      <c r="AC258" s="113">
        <f t="shared" si="179"/>
        <v>1150000</v>
      </c>
      <c r="AD258" s="114">
        <f t="shared" si="180"/>
        <v>17230000</v>
      </c>
      <c r="AF258" s="46">
        <f t="shared" si="164"/>
        <v>0</v>
      </c>
      <c r="AG258" s="46"/>
    </row>
    <row r="259" spans="1:33" ht="12.75">
      <c r="A259" s="65"/>
      <c r="B259" s="130"/>
      <c r="C259" s="85" t="s">
        <v>46</v>
      </c>
      <c r="D259" s="282">
        <v>1150000</v>
      </c>
      <c r="E259" s="86">
        <v>1150000</v>
      </c>
      <c r="F259" s="161">
        <v>0</v>
      </c>
      <c r="G259" s="282">
        <f t="shared" si="153"/>
        <v>0</v>
      </c>
      <c r="H259" s="86"/>
      <c r="I259" s="161">
        <v>0</v>
      </c>
      <c r="J259" s="282">
        <f t="shared" si="154"/>
        <v>1150000</v>
      </c>
      <c r="K259" s="86">
        <f t="shared" si="173"/>
        <v>1150000</v>
      </c>
      <c r="L259" s="161">
        <f t="shared" si="174"/>
        <v>0</v>
      </c>
      <c r="M259" s="282">
        <f t="shared" si="155"/>
        <v>0</v>
      </c>
      <c r="N259" s="86"/>
      <c r="O259" s="161">
        <v>0</v>
      </c>
      <c r="P259" s="282">
        <f t="shared" si="156"/>
        <v>1150000</v>
      </c>
      <c r="Q259" s="86">
        <f t="shared" si="175"/>
        <v>1150000</v>
      </c>
      <c r="R259" s="161">
        <f t="shared" si="176"/>
        <v>0</v>
      </c>
      <c r="S259" s="282">
        <f t="shared" si="157"/>
        <v>0</v>
      </c>
      <c r="T259" s="86"/>
      <c r="U259" s="161">
        <v>0</v>
      </c>
      <c r="V259" s="282">
        <f t="shared" si="158"/>
        <v>1150000</v>
      </c>
      <c r="W259" s="86">
        <f t="shared" si="177"/>
        <v>1150000</v>
      </c>
      <c r="X259" s="161">
        <f t="shared" si="178"/>
        <v>0</v>
      </c>
      <c r="Y259" s="282">
        <f t="shared" si="160"/>
        <v>0</v>
      </c>
      <c r="Z259" s="86"/>
      <c r="AA259" s="161"/>
      <c r="AB259" s="282">
        <f t="shared" si="161"/>
        <v>1150000</v>
      </c>
      <c r="AC259" s="86">
        <f t="shared" si="179"/>
        <v>1150000</v>
      </c>
      <c r="AD259" s="161">
        <f t="shared" si="180"/>
        <v>0</v>
      </c>
      <c r="AF259" s="46">
        <f t="shared" si="164"/>
        <v>0</v>
      </c>
      <c r="AG259" s="46"/>
    </row>
    <row r="260" spans="1:33" ht="12.75">
      <c r="A260" s="65"/>
      <c r="B260" s="108"/>
      <c r="C260" s="90" t="s">
        <v>181</v>
      </c>
      <c r="D260" s="91">
        <v>17230000</v>
      </c>
      <c r="E260" s="92">
        <v>0</v>
      </c>
      <c r="F260" s="186">
        <v>17230000</v>
      </c>
      <c r="G260" s="91">
        <f t="shared" si="153"/>
        <v>0</v>
      </c>
      <c r="H260" s="92">
        <v>0</v>
      </c>
      <c r="I260" s="186"/>
      <c r="J260" s="91">
        <f t="shared" si="154"/>
        <v>17230000</v>
      </c>
      <c r="K260" s="92">
        <f t="shared" si="173"/>
        <v>0</v>
      </c>
      <c r="L260" s="186">
        <f t="shared" si="174"/>
        <v>17230000</v>
      </c>
      <c r="M260" s="91">
        <f t="shared" si="155"/>
        <v>0</v>
      </c>
      <c r="N260" s="92">
        <v>0</v>
      </c>
      <c r="O260" s="186"/>
      <c r="P260" s="91">
        <f t="shared" si="156"/>
        <v>17230000</v>
      </c>
      <c r="Q260" s="92">
        <f t="shared" si="175"/>
        <v>0</v>
      </c>
      <c r="R260" s="186">
        <f t="shared" si="176"/>
        <v>17230000</v>
      </c>
      <c r="S260" s="91">
        <f t="shared" si="157"/>
        <v>0</v>
      </c>
      <c r="T260" s="92">
        <v>0</v>
      </c>
      <c r="U260" s="186"/>
      <c r="V260" s="91">
        <f t="shared" si="158"/>
        <v>17230000</v>
      </c>
      <c r="W260" s="92">
        <f t="shared" si="177"/>
        <v>0</v>
      </c>
      <c r="X260" s="186">
        <f t="shared" si="178"/>
        <v>17230000</v>
      </c>
      <c r="Y260" s="91">
        <f t="shared" si="160"/>
        <v>0</v>
      </c>
      <c r="Z260" s="92"/>
      <c r="AA260" s="186"/>
      <c r="AB260" s="91">
        <f t="shared" si="161"/>
        <v>17230000</v>
      </c>
      <c r="AC260" s="92">
        <f t="shared" si="179"/>
        <v>0</v>
      </c>
      <c r="AD260" s="186">
        <f t="shared" si="180"/>
        <v>17230000</v>
      </c>
      <c r="AF260" s="46">
        <f t="shared" si="164"/>
        <v>0</v>
      </c>
      <c r="AG260" s="46"/>
    </row>
    <row r="261" spans="1:33" s="100" customFormat="1" ht="12.75" customHeight="1">
      <c r="A261" s="94"/>
      <c r="B261" s="126"/>
      <c r="C261" s="96" t="s">
        <v>42</v>
      </c>
      <c r="D261" s="294">
        <v>7130000</v>
      </c>
      <c r="E261" s="98">
        <v>0</v>
      </c>
      <c r="F261" s="220">
        <v>7130000</v>
      </c>
      <c r="G261" s="294">
        <f t="shared" si="153"/>
        <v>0</v>
      </c>
      <c r="H261" s="98">
        <v>0</v>
      </c>
      <c r="I261" s="220"/>
      <c r="J261" s="294">
        <f t="shared" si="154"/>
        <v>7130000</v>
      </c>
      <c r="K261" s="98">
        <f t="shared" si="173"/>
        <v>0</v>
      </c>
      <c r="L261" s="220">
        <f t="shared" si="174"/>
        <v>7130000</v>
      </c>
      <c r="M261" s="294">
        <f t="shared" si="155"/>
        <v>0</v>
      </c>
      <c r="N261" s="98">
        <v>0</v>
      </c>
      <c r="O261" s="220"/>
      <c r="P261" s="294">
        <f t="shared" si="156"/>
        <v>7130000</v>
      </c>
      <c r="Q261" s="98">
        <f t="shared" si="175"/>
        <v>0</v>
      </c>
      <c r="R261" s="220">
        <f t="shared" si="176"/>
        <v>7130000</v>
      </c>
      <c r="S261" s="294">
        <f t="shared" si="157"/>
        <v>-7130000</v>
      </c>
      <c r="T261" s="98">
        <v>0</v>
      </c>
      <c r="U261" s="220">
        <v>-7130000</v>
      </c>
      <c r="V261" s="294">
        <f t="shared" si="158"/>
        <v>0</v>
      </c>
      <c r="W261" s="98">
        <f t="shared" si="177"/>
        <v>0</v>
      </c>
      <c r="X261" s="220">
        <f t="shared" si="178"/>
        <v>0</v>
      </c>
      <c r="Y261" s="294">
        <f t="shared" si="160"/>
        <v>0</v>
      </c>
      <c r="Z261" s="98"/>
      <c r="AA261" s="220"/>
      <c r="AB261" s="294">
        <f t="shared" si="161"/>
        <v>0</v>
      </c>
      <c r="AC261" s="98">
        <f t="shared" si="179"/>
        <v>0</v>
      </c>
      <c r="AD261" s="220">
        <f t="shared" si="180"/>
        <v>0</v>
      </c>
      <c r="AF261" s="46">
        <f t="shared" si="164"/>
        <v>0</v>
      </c>
      <c r="AG261" s="46"/>
    </row>
    <row r="262" spans="1:33" ht="12.75">
      <c r="A262" s="65"/>
      <c r="B262" s="130">
        <v>90003</v>
      </c>
      <c r="C262" s="295" t="s">
        <v>182</v>
      </c>
      <c r="D262" s="88">
        <v>2677816</v>
      </c>
      <c r="E262" s="86">
        <v>2677816</v>
      </c>
      <c r="F262" s="87">
        <v>0</v>
      </c>
      <c r="G262" s="88">
        <f t="shared" si="153"/>
        <v>0</v>
      </c>
      <c r="H262" s="86">
        <f>H263+H265</f>
        <v>0</v>
      </c>
      <c r="I262" s="87">
        <f>SUM(I263:I265)</f>
        <v>0</v>
      </c>
      <c r="J262" s="88">
        <f t="shared" si="154"/>
        <v>2677816</v>
      </c>
      <c r="K262" s="86">
        <f t="shared" si="173"/>
        <v>2677816</v>
      </c>
      <c r="L262" s="87">
        <f t="shared" si="174"/>
        <v>0</v>
      </c>
      <c r="M262" s="88">
        <f t="shared" si="155"/>
        <v>0</v>
      </c>
      <c r="N262" s="86">
        <f>N263+N265</f>
        <v>0</v>
      </c>
      <c r="O262" s="87">
        <f>SUM(O263:O265)</f>
        <v>0</v>
      </c>
      <c r="P262" s="88">
        <f t="shared" si="156"/>
        <v>2677816</v>
      </c>
      <c r="Q262" s="86">
        <f t="shared" si="175"/>
        <v>2677816</v>
      </c>
      <c r="R262" s="87">
        <f t="shared" si="176"/>
        <v>0</v>
      </c>
      <c r="S262" s="88">
        <f t="shared" si="157"/>
        <v>67000</v>
      </c>
      <c r="T262" s="86">
        <f>T263+T265</f>
        <v>67000</v>
      </c>
      <c r="U262" s="87">
        <f>SUM(U263:U265)</f>
        <v>0</v>
      </c>
      <c r="V262" s="88">
        <f t="shared" si="158"/>
        <v>2744816</v>
      </c>
      <c r="W262" s="86">
        <f t="shared" si="177"/>
        <v>2744816</v>
      </c>
      <c r="X262" s="87">
        <f t="shared" si="178"/>
        <v>0</v>
      </c>
      <c r="Y262" s="88">
        <f t="shared" si="160"/>
        <v>0</v>
      </c>
      <c r="Z262" s="86">
        <f>Z263+Z265</f>
        <v>0</v>
      </c>
      <c r="AA262" s="87">
        <f>SUM(AA263:AA265)</f>
        <v>0</v>
      </c>
      <c r="AB262" s="88">
        <f t="shared" si="161"/>
        <v>2744816</v>
      </c>
      <c r="AC262" s="86">
        <f t="shared" si="179"/>
        <v>2744816</v>
      </c>
      <c r="AD262" s="87">
        <f t="shared" si="180"/>
        <v>0</v>
      </c>
      <c r="AF262" s="46">
        <f t="shared" si="164"/>
        <v>0</v>
      </c>
      <c r="AG262" s="46"/>
    </row>
    <row r="263" spans="1:33" s="9" customFormat="1" ht="12.75">
      <c r="A263" s="121"/>
      <c r="B263" s="130"/>
      <c r="C263" s="85" t="s">
        <v>46</v>
      </c>
      <c r="D263" s="250">
        <v>1300000</v>
      </c>
      <c r="E263" s="86">
        <v>1300000</v>
      </c>
      <c r="F263" s="161">
        <v>0</v>
      </c>
      <c r="G263" s="250">
        <f t="shared" si="153"/>
        <v>0</v>
      </c>
      <c r="H263" s="86"/>
      <c r="I263" s="161">
        <v>0</v>
      </c>
      <c r="J263" s="250">
        <f t="shared" si="154"/>
        <v>1300000</v>
      </c>
      <c r="K263" s="86">
        <f t="shared" si="173"/>
        <v>1300000</v>
      </c>
      <c r="L263" s="161">
        <f t="shared" si="174"/>
        <v>0</v>
      </c>
      <c r="M263" s="250">
        <f t="shared" si="155"/>
        <v>0</v>
      </c>
      <c r="N263" s="86"/>
      <c r="O263" s="161">
        <v>0</v>
      </c>
      <c r="P263" s="250">
        <f t="shared" si="156"/>
        <v>1300000</v>
      </c>
      <c r="Q263" s="86">
        <f t="shared" si="175"/>
        <v>1300000</v>
      </c>
      <c r="R263" s="161">
        <f t="shared" si="176"/>
        <v>0</v>
      </c>
      <c r="S263" s="250">
        <f t="shared" si="157"/>
        <v>86000</v>
      </c>
      <c r="T263" s="86">
        <v>86000</v>
      </c>
      <c r="U263" s="161">
        <v>0</v>
      </c>
      <c r="V263" s="250">
        <f t="shared" si="158"/>
        <v>1386000</v>
      </c>
      <c r="W263" s="86">
        <f t="shared" si="177"/>
        <v>1386000</v>
      </c>
      <c r="X263" s="161">
        <f t="shared" si="178"/>
        <v>0</v>
      </c>
      <c r="Y263" s="250">
        <f t="shared" si="160"/>
        <v>0</v>
      </c>
      <c r="Z263" s="86"/>
      <c r="AA263" s="161"/>
      <c r="AB263" s="250">
        <f t="shared" si="161"/>
        <v>1386000</v>
      </c>
      <c r="AC263" s="86">
        <f t="shared" si="179"/>
        <v>1386000</v>
      </c>
      <c r="AD263" s="161">
        <f t="shared" si="180"/>
        <v>0</v>
      </c>
      <c r="AF263" s="46">
        <f t="shared" si="164"/>
        <v>0</v>
      </c>
      <c r="AG263" s="46"/>
    </row>
    <row r="264" spans="1:33" s="9" customFormat="1" ht="12.75" hidden="1">
      <c r="A264" s="121"/>
      <c r="B264" s="108"/>
      <c r="C264" s="116" t="s">
        <v>181</v>
      </c>
      <c r="D264" s="91">
        <v>0</v>
      </c>
      <c r="E264" s="92">
        <v>0</v>
      </c>
      <c r="F264" s="186">
        <v>0</v>
      </c>
      <c r="G264" s="91">
        <f t="shared" si="153"/>
        <v>0</v>
      </c>
      <c r="H264" s="92">
        <v>0</v>
      </c>
      <c r="I264" s="186">
        <v>0</v>
      </c>
      <c r="J264" s="91">
        <f t="shared" si="154"/>
        <v>0</v>
      </c>
      <c r="K264" s="92">
        <f t="shared" si="173"/>
        <v>0</v>
      </c>
      <c r="L264" s="186">
        <f t="shared" si="174"/>
        <v>0</v>
      </c>
      <c r="M264" s="91">
        <f t="shared" si="155"/>
        <v>0</v>
      </c>
      <c r="N264" s="92">
        <v>0</v>
      </c>
      <c r="O264" s="186">
        <v>0</v>
      </c>
      <c r="P264" s="91">
        <f t="shared" si="156"/>
        <v>0</v>
      </c>
      <c r="Q264" s="92">
        <f t="shared" si="175"/>
        <v>0</v>
      </c>
      <c r="R264" s="186">
        <f t="shared" si="176"/>
        <v>0</v>
      </c>
      <c r="S264" s="91">
        <f t="shared" si="157"/>
        <v>0</v>
      </c>
      <c r="T264" s="92">
        <v>0</v>
      </c>
      <c r="U264" s="186">
        <v>0</v>
      </c>
      <c r="V264" s="91">
        <f t="shared" si="158"/>
        <v>0</v>
      </c>
      <c r="W264" s="92">
        <f t="shared" si="177"/>
        <v>0</v>
      </c>
      <c r="X264" s="186">
        <f t="shared" si="178"/>
        <v>0</v>
      </c>
      <c r="Y264" s="91">
        <f t="shared" si="160"/>
        <v>0</v>
      </c>
      <c r="Z264" s="92">
        <v>0</v>
      </c>
      <c r="AA264" s="186">
        <v>0</v>
      </c>
      <c r="AB264" s="91">
        <f t="shared" si="161"/>
        <v>0</v>
      </c>
      <c r="AC264" s="92">
        <f t="shared" si="179"/>
        <v>0</v>
      </c>
      <c r="AD264" s="186">
        <f t="shared" si="180"/>
        <v>0</v>
      </c>
      <c r="AF264" s="46">
        <f t="shared" si="164"/>
        <v>0</v>
      </c>
      <c r="AG264" s="46"/>
    </row>
    <row r="265" spans="1:33" s="147" customFormat="1" ht="12.75">
      <c r="A265" s="145"/>
      <c r="B265" s="126"/>
      <c r="C265" s="96" t="s">
        <v>33</v>
      </c>
      <c r="D265" s="294">
        <v>68516</v>
      </c>
      <c r="E265" s="98">
        <v>68516</v>
      </c>
      <c r="F265" s="220">
        <v>0</v>
      </c>
      <c r="G265" s="294">
        <f t="shared" si="153"/>
        <v>0</v>
      </c>
      <c r="H265" s="98"/>
      <c r="I265" s="220">
        <v>0</v>
      </c>
      <c r="J265" s="294">
        <f t="shared" si="154"/>
        <v>68516</v>
      </c>
      <c r="K265" s="98">
        <f t="shared" si="173"/>
        <v>68516</v>
      </c>
      <c r="L265" s="220">
        <f t="shared" si="174"/>
        <v>0</v>
      </c>
      <c r="M265" s="294">
        <f t="shared" si="155"/>
        <v>0</v>
      </c>
      <c r="N265" s="98"/>
      <c r="O265" s="220">
        <v>0</v>
      </c>
      <c r="P265" s="294">
        <f t="shared" si="156"/>
        <v>68516</v>
      </c>
      <c r="Q265" s="98">
        <f t="shared" si="175"/>
        <v>68516</v>
      </c>
      <c r="R265" s="220">
        <f t="shared" si="176"/>
        <v>0</v>
      </c>
      <c r="S265" s="294">
        <f t="shared" si="157"/>
        <v>-19000</v>
      </c>
      <c r="T265" s="98">
        <v>-19000</v>
      </c>
      <c r="U265" s="220">
        <v>0</v>
      </c>
      <c r="V265" s="294">
        <f t="shared" si="158"/>
        <v>49516</v>
      </c>
      <c r="W265" s="98">
        <f t="shared" si="177"/>
        <v>49516</v>
      </c>
      <c r="X265" s="220">
        <f t="shared" si="178"/>
        <v>0</v>
      </c>
      <c r="Y265" s="294">
        <f t="shared" si="160"/>
        <v>0</v>
      </c>
      <c r="Z265" s="98"/>
      <c r="AA265" s="220"/>
      <c r="AB265" s="294">
        <f t="shared" si="161"/>
        <v>49516</v>
      </c>
      <c r="AC265" s="98">
        <f t="shared" si="179"/>
        <v>49516</v>
      </c>
      <c r="AD265" s="220">
        <f t="shared" si="180"/>
        <v>0</v>
      </c>
      <c r="AF265" s="46">
        <f t="shared" si="164"/>
        <v>0</v>
      </c>
      <c r="AG265" s="46"/>
    </row>
    <row r="266" spans="1:33" ht="12.75">
      <c r="A266" s="65"/>
      <c r="B266" s="254">
        <v>90004</v>
      </c>
      <c r="C266" s="255" t="s">
        <v>183</v>
      </c>
      <c r="D266" s="112">
        <v>18030136</v>
      </c>
      <c r="E266" s="113">
        <v>16315596</v>
      </c>
      <c r="F266" s="114">
        <v>1714540</v>
      </c>
      <c r="G266" s="112">
        <f>SUM(G267:G268)</f>
        <v>370248</v>
      </c>
      <c r="H266" s="113">
        <f>SUM(H267:H268)</f>
        <v>190248</v>
      </c>
      <c r="I266" s="114">
        <f>SUM(I267:I268)</f>
        <v>180000</v>
      </c>
      <c r="J266" s="112">
        <f>SUM(J267:J268)</f>
        <v>18400384</v>
      </c>
      <c r="K266" s="113">
        <f t="shared" si="173"/>
        <v>16505844</v>
      </c>
      <c r="L266" s="114">
        <f t="shared" si="174"/>
        <v>1894540</v>
      </c>
      <c r="M266" s="112">
        <f>SUM(M267:M268)</f>
        <v>0</v>
      </c>
      <c r="N266" s="113">
        <f>SUM(N267:N268)</f>
        <v>0</v>
      </c>
      <c r="O266" s="114">
        <f>SUM(O267:O268)</f>
        <v>0</v>
      </c>
      <c r="P266" s="112">
        <f>SUM(P267:P268)</f>
        <v>18400384</v>
      </c>
      <c r="Q266" s="113">
        <f t="shared" si="175"/>
        <v>16505844</v>
      </c>
      <c r="R266" s="114">
        <f t="shared" si="176"/>
        <v>1894540</v>
      </c>
      <c r="S266" s="112">
        <f>SUM(S267:S268)</f>
        <v>1619966</v>
      </c>
      <c r="T266" s="113">
        <f>SUM(T267:T268)</f>
        <v>1455566</v>
      </c>
      <c r="U266" s="114">
        <f>SUM(U267:U268)</f>
        <v>164400</v>
      </c>
      <c r="V266" s="112">
        <f>SUM(V267:V268)</f>
        <v>20020350</v>
      </c>
      <c r="W266" s="113">
        <f t="shared" si="177"/>
        <v>17961410</v>
      </c>
      <c r="X266" s="114">
        <f t="shared" si="178"/>
        <v>2058940</v>
      </c>
      <c r="Y266" s="112">
        <f>SUM(Y267:Y268)</f>
        <v>0</v>
      </c>
      <c r="Z266" s="113">
        <f>SUM(Z267:Z268)</f>
        <v>0</v>
      </c>
      <c r="AA266" s="114">
        <f>SUM(AA267:AA268)</f>
        <v>0</v>
      </c>
      <c r="AB266" s="112">
        <f>SUM(AB267:AB268)</f>
        <v>20020350</v>
      </c>
      <c r="AC266" s="113">
        <f t="shared" si="179"/>
        <v>17961410</v>
      </c>
      <c r="AD266" s="114">
        <f t="shared" si="180"/>
        <v>2058940</v>
      </c>
      <c r="AF266" s="46">
        <f t="shared" si="164"/>
        <v>0</v>
      </c>
      <c r="AG266" s="46"/>
    </row>
    <row r="267" spans="1:33" ht="12.75">
      <c r="A267" s="65"/>
      <c r="B267" s="130"/>
      <c r="C267" s="85" t="s">
        <v>184</v>
      </c>
      <c r="D267" s="88">
        <v>17795964</v>
      </c>
      <c r="E267" s="86">
        <v>16100424</v>
      </c>
      <c r="F267" s="161">
        <v>1695540</v>
      </c>
      <c r="G267" s="88">
        <f>H267+I267</f>
        <v>370248</v>
      </c>
      <c r="H267" s="86">
        <f>135000+55248</f>
        <v>190248</v>
      </c>
      <c r="I267" s="161">
        <f>10000+40000+130000</f>
        <v>180000</v>
      </c>
      <c r="J267" s="88">
        <f>K267+L267</f>
        <v>18166212</v>
      </c>
      <c r="K267" s="86">
        <f t="shared" si="173"/>
        <v>16290672</v>
      </c>
      <c r="L267" s="161">
        <f t="shared" si="174"/>
        <v>1875540</v>
      </c>
      <c r="M267" s="88">
        <f>N267+O267</f>
        <v>0</v>
      </c>
      <c r="N267" s="86">
        <v>0</v>
      </c>
      <c r="O267" s="161">
        <v>0</v>
      </c>
      <c r="P267" s="88">
        <f>Q267+R267</f>
        <v>18166212</v>
      </c>
      <c r="Q267" s="86">
        <f t="shared" si="175"/>
        <v>16290672</v>
      </c>
      <c r="R267" s="161">
        <f t="shared" si="176"/>
        <v>1875540</v>
      </c>
      <c r="S267" s="88">
        <f>T267+U267</f>
        <v>1641880</v>
      </c>
      <c r="T267" s="86">
        <f>32880+1000000+300000+74752+30000+39848</f>
        <v>1477480</v>
      </c>
      <c r="U267" s="161">
        <f>150000+14400</f>
        <v>164400</v>
      </c>
      <c r="V267" s="88">
        <f>W267+X267</f>
        <v>19808092</v>
      </c>
      <c r="W267" s="86">
        <f t="shared" si="177"/>
        <v>17768152</v>
      </c>
      <c r="X267" s="161">
        <f t="shared" si="178"/>
        <v>2039940</v>
      </c>
      <c r="Y267" s="88">
        <f>Z267+AA267</f>
        <v>0</v>
      </c>
      <c r="Z267" s="86"/>
      <c r="AA267" s="161"/>
      <c r="AB267" s="88">
        <f>AC267+AD267</f>
        <v>19808092</v>
      </c>
      <c r="AC267" s="86">
        <f t="shared" si="179"/>
        <v>17768152</v>
      </c>
      <c r="AD267" s="161">
        <f t="shared" si="180"/>
        <v>2039940</v>
      </c>
      <c r="AF267" s="46">
        <f t="shared" si="164"/>
        <v>0</v>
      </c>
      <c r="AG267" s="46"/>
    </row>
    <row r="268" spans="1:33" s="100" customFormat="1" ht="12.75">
      <c r="A268" s="94"/>
      <c r="B268" s="126"/>
      <c r="C268" s="96" t="s">
        <v>33</v>
      </c>
      <c r="D268" s="97">
        <v>234172</v>
      </c>
      <c r="E268" s="98">
        <v>215172</v>
      </c>
      <c r="F268" s="220">
        <v>19000</v>
      </c>
      <c r="G268" s="97">
        <f>H268+I268</f>
        <v>0</v>
      </c>
      <c r="H268" s="98"/>
      <c r="I268" s="220"/>
      <c r="J268" s="97">
        <f>K268+L268</f>
        <v>234172</v>
      </c>
      <c r="K268" s="98">
        <f t="shared" si="173"/>
        <v>215172</v>
      </c>
      <c r="L268" s="220">
        <f t="shared" si="174"/>
        <v>19000</v>
      </c>
      <c r="M268" s="97">
        <f>N268+O268</f>
        <v>0</v>
      </c>
      <c r="N268" s="98"/>
      <c r="O268" s="220"/>
      <c r="P268" s="97">
        <f>Q268+R268</f>
        <v>234172</v>
      </c>
      <c r="Q268" s="98">
        <f t="shared" si="175"/>
        <v>215172</v>
      </c>
      <c r="R268" s="220">
        <f t="shared" si="176"/>
        <v>19000</v>
      </c>
      <c r="S268" s="97">
        <f>T268+U268</f>
        <v>-21914</v>
      </c>
      <c r="T268" s="98">
        <f>-17914-4000</f>
        <v>-21914</v>
      </c>
      <c r="U268" s="220"/>
      <c r="V268" s="97">
        <f>W268+X268</f>
        <v>212258</v>
      </c>
      <c r="W268" s="98">
        <f t="shared" si="177"/>
        <v>193258</v>
      </c>
      <c r="X268" s="220">
        <f t="shared" si="178"/>
        <v>19000</v>
      </c>
      <c r="Y268" s="97">
        <f>Z268+AA268</f>
        <v>0</v>
      </c>
      <c r="Z268" s="98"/>
      <c r="AA268" s="220"/>
      <c r="AB268" s="97">
        <f>AC268+AD268</f>
        <v>212258</v>
      </c>
      <c r="AC268" s="98">
        <f t="shared" si="179"/>
        <v>193258</v>
      </c>
      <c r="AD268" s="220">
        <f t="shared" si="180"/>
        <v>19000</v>
      </c>
      <c r="AF268" s="46">
        <f t="shared" si="164"/>
        <v>0</v>
      </c>
      <c r="AG268" s="46"/>
    </row>
    <row r="269" spans="1:33" ht="12.75">
      <c r="A269" s="65"/>
      <c r="B269" s="136">
        <v>90013</v>
      </c>
      <c r="C269" s="137" t="s">
        <v>185</v>
      </c>
      <c r="D269" s="80">
        <v>1315084</v>
      </c>
      <c r="E269" s="81">
        <v>1315084</v>
      </c>
      <c r="F269" s="82">
        <v>0</v>
      </c>
      <c r="G269" s="80">
        <f>G270</f>
        <v>0</v>
      </c>
      <c r="H269" s="81">
        <f>H270</f>
        <v>0</v>
      </c>
      <c r="I269" s="82">
        <f>I270</f>
        <v>0</v>
      </c>
      <c r="J269" s="80">
        <f>J270</f>
        <v>1315084</v>
      </c>
      <c r="K269" s="81">
        <f t="shared" si="173"/>
        <v>1315084</v>
      </c>
      <c r="L269" s="82">
        <f t="shared" si="174"/>
        <v>0</v>
      </c>
      <c r="M269" s="80">
        <f>M270</f>
        <v>0</v>
      </c>
      <c r="N269" s="81">
        <f>N270</f>
        <v>0</v>
      </c>
      <c r="O269" s="82">
        <f>O270</f>
        <v>0</v>
      </c>
      <c r="P269" s="80">
        <f>P270</f>
        <v>1315084</v>
      </c>
      <c r="Q269" s="81">
        <f t="shared" si="175"/>
        <v>1315084</v>
      </c>
      <c r="R269" s="82">
        <f t="shared" si="176"/>
        <v>0</v>
      </c>
      <c r="S269" s="80">
        <f>S270</f>
        <v>25000</v>
      </c>
      <c r="T269" s="81">
        <f>T270</f>
        <v>0</v>
      </c>
      <c r="U269" s="82">
        <f>U270</f>
        <v>25000</v>
      </c>
      <c r="V269" s="80">
        <f>V270</f>
        <v>1340084</v>
      </c>
      <c r="W269" s="81">
        <f t="shared" si="177"/>
        <v>1315084</v>
      </c>
      <c r="X269" s="82">
        <f t="shared" si="178"/>
        <v>25000</v>
      </c>
      <c r="Y269" s="80">
        <f>Y270</f>
        <v>19000</v>
      </c>
      <c r="Z269" s="81">
        <f>Z270</f>
        <v>19000</v>
      </c>
      <c r="AA269" s="82">
        <f>AA270</f>
        <v>0</v>
      </c>
      <c r="AB269" s="80">
        <f>AB270</f>
        <v>1359084</v>
      </c>
      <c r="AC269" s="81">
        <f t="shared" si="179"/>
        <v>1334084</v>
      </c>
      <c r="AD269" s="82">
        <f t="shared" si="180"/>
        <v>25000</v>
      </c>
      <c r="AF269" s="46">
        <f t="shared" si="164"/>
        <v>0</v>
      </c>
      <c r="AG269" s="46"/>
    </row>
    <row r="270" spans="1:33" ht="12.75">
      <c r="A270" s="65"/>
      <c r="B270" s="106"/>
      <c r="C270" s="137" t="s">
        <v>186</v>
      </c>
      <c r="D270" s="80">
        <v>1315084</v>
      </c>
      <c r="E270" s="81">
        <v>1315084</v>
      </c>
      <c r="F270" s="190">
        <v>0</v>
      </c>
      <c r="G270" s="80">
        <f aca="true" t="shared" si="181" ref="G270:G280">H270+I270</f>
        <v>0</v>
      </c>
      <c r="H270" s="81"/>
      <c r="I270" s="190">
        <v>0</v>
      </c>
      <c r="J270" s="80">
        <f aca="true" t="shared" si="182" ref="J270:J280">K270+L270</f>
        <v>1315084</v>
      </c>
      <c r="K270" s="81">
        <f t="shared" si="173"/>
        <v>1315084</v>
      </c>
      <c r="L270" s="190">
        <f t="shared" si="174"/>
        <v>0</v>
      </c>
      <c r="M270" s="80">
        <f aca="true" t="shared" si="183" ref="M270:M280">N270+O270</f>
        <v>0</v>
      </c>
      <c r="N270" s="81"/>
      <c r="O270" s="190">
        <v>0</v>
      </c>
      <c r="P270" s="80">
        <f aca="true" t="shared" si="184" ref="P270:P280">Q270+R270</f>
        <v>1315084</v>
      </c>
      <c r="Q270" s="81">
        <f t="shared" si="175"/>
        <v>1315084</v>
      </c>
      <c r="R270" s="190">
        <f t="shared" si="176"/>
        <v>0</v>
      </c>
      <c r="S270" s="80">
        <f aca="true" t="shared" si="185" ref="S270:S280">T270+U270</f>
        <v>25000</v>
      </c>
      <c r="T270" s="81">
        <v>0</v>
      </c>
      <c r="U270" s="190">
        <v>25000</v>
      </c>
      <c r="V270" s="80">
        <f aca="true" t="shared" si="186" ref="V270:V280">W270+X270</f>
        <v>1340084</v>
      </c>
      <c r="W270" s="81">
        <f t="shared" si="177"/>
        <v>1315084</v>
      </c>
      <c r="X270" s="190">
        <f t="shared" si="178"/>
        <v>25000</v>
      </c>
      <c r="Y270" s="80">
        <f aca="true" t="shared" si="187" ref="Y270:Y280">Z270+AA270</f>
        <v>19000</v>
      </c>
      <c r="Z270" s="81">
        <v>19000</v>
      </c>
      <c r="AA270" s="190"/>
      <c r="AB270" s="80">
        <f aca="true" t="shared" si="188" ref="AB270:AB280">AC270+AD270</f>
        <v>1359084</v>
      </c>
      <c r="AC270" s="81">
        <f t="shared" si="179"/>
        <v>1334084</v>
      </c>
      <c r="AD270" s="190">
        <f t="shared" si="180"/>
        <v>25000</v>
      </c>
      <c r="AF270" s="46">
        <f t="shared" si="164"/>
        <v>0</v>
      </c>
      <c r="AG270" s="46"/>
    </row>
    <row r="271" spans="1:33" ht="12.75">
      <c r="A271" s="65"/>
      <c r="B271" s="140">
        <v>90015</v>
      </c>
      <c r="C271" s="129" t="s">
        <v>187</v>
      </c>
      <c r="D271" s="112">
        <v>18200000</v>
      </c>
      <c r="E271" s="113">
        <v>17300000</v>
      </c>
      <c r="F271" s="114">
        <v>900000</v>
      </c>
      <c r="G271" s="112">
        <f t="shared" si="181"/>
        <v>0</v>
      </c>
      <c r="H271" s="113">
        <f>SUM(H272:H273)</f>
        <v>0</v>
      </c>
      <c r="I271" s="114">
        <f>SUM(I272:I273)</f>
        <v>0</v>
      </c>
      <c r="J271" s="112">
        <f t="shared" si="182"/>
        <v>18200000</v>
      </c>
      <c r="K271" s="113">
        <f t="shared" si="173"/>
        <v>17300000</v>
      </c>
      <c r="L271" s="114">
        <f t="shared" si="174"/>
        <v>900000</v>
      </c>
      <c r="M271" s="112">
        <f t="shared" si="183"/>
        <v>0</v>
      </c>
      <c r="N271" s="113">
        <f>SUM(N272:N273)</f>
        <v>0</v>
      </c>
      <c r="O271" s="114">
        <f>SUM(O272:O273)</f>
        <v>0</v>
      </c>
      <c r="P271" s="112">
        <f t="shared" si="184"/>
        <v>18200000</v>
      </c>
      <c r="Q271" s="113">
        <f t="shared" si="175"/>
        <v>17300000</v>
      </c>
      <c r="R271" s="114">
        <f t="shared" si="176"/>
        <v>900000</v>
      </c>
      <c r="S271" s="112">
        <f t="shared" si="185"/>
        <v>3000000</v>
      </c>
      <c r="T271" s="113">
        <f>SUM(T272:T273)</f>
        <v>3000000</v>
      </c>
      <c r="U271" s="114">
        <f>SUM(U272:U273)</f>
        <v>0</v>
      </c>
      <c r="V271" s="112">
        <f t="shared" si="186"/>
        <v>21200000</v>
      </c>
      <c r="W271" s="113">
        <f t="shared" si="177"/>
        <v>20300000</v>
      </c>
      <c r="X271" s="114">
        <f t="shared" si="178"/>
        <v>900000</v>
      </c>
      <c r="Y271" s="112">
        <f t="shared" si="187"/>
        <v>0</v>
      </c>
      <c r="Z271" s="113">
        <f>SUM(Z272:Z273)</f>
        <v>0</v>
      </c>
      <c r="AA271" s="114">
        <f>SUM(AA272:AA273)</f>
        <v>0</v>
      </c>
      <c r="AB271" s="112">
        <f t="shared" si="188"/>
        <v>21200000</v>
      </c>
      <c r="AC271" s="113">
        <f t="shared" si="179"/>
        <v>20300000</v>
      </c>
      <c r="AD271" s="114">
        <f t="shared" si="180"/>
        <v>900000</v>
      </c>
      <c r="AF271" s="46">
        <f t="shared" si="164"/>
        <v>0</v>
      </c>
      <c r="AG271" s="46"/>
    </row>
    <row r="272" spans="1:33" ht="12.75" customHeight="1">
      <c r="A272" s="65"/>
      <c r="B272" s="130"/>
      <c r="C272" s="85" t="s">
        <v>41</v>
      </c>
      <c r="D272" s="250">
        <v>17700000</v>
      </c>
      <c r="E272" s="86">
        <v>17300000</v>
      </c>
      <c r="F272" s="161">
        <v>400000</v>
      </c>
      <c r="G272" s="250">
        <f t="shared" si="181"/>
        <v>0</v>
      </c>
      <c r="H272" s="86"/>
      <c r="I272" s="161"/>
      <c r="J272" s="250">
        <f t="shared" si="182"/>
        <v>17700000</v>
      </c>
      <c r="K272" s="86">
        <f t="shared" si="173"/>
        <v>17300000</v>
      </c>
      <c r="L272" s="161">
        <f t="shared" si="174"/>
        <v>400000</v>
      </c>
      <c r="M272" s="250">
        <f t="shared" si="183"/>
        <v>0</v>
      </c>
      <c r="N272" s="86"/>
      <c r="O272" s="161"/>
      <c r="P272" s="250">
        <f t="shared" si="184"/>
        <v>17700000</v>
      </c>
      <c r="Q272" s="86">
        <f t="shared" si="175"/>
        <v>17300000</v>
      </c>
      <c r="R272" s="161">
        <f t="shared" si="176"/>
        <v>400000</v>
      </c>
      <c r="S272" s="250">
        <f t="shared" si="185"/>
        <v>3000000</v>
      </c>
      <c r="T272" s="86">
        <f>1000000+2000000</f>
        <v>3000000</v>
      </c>
      <c r="U272" s="161"/>
      <c r="V272" s="250">
        <f t="shared" si="186"/>
        <v>20700000</v>
      </c>
      <c r="W272" s="86">
        <f t="shared" si="177"/>
        <v>20300000</v>
      </c>
      <c r="X272" s="161">
        <f t="shared" si="178"/>
        <v>400000</v>
      </c>
      <c r="Y272" s="250">
        <f t="shared" si="187"/>
        <v>0</v>
      </c>
      <c r="Z272" s="86"/>
      <c r="AA272" s="161"/>
      <c r="AB272" s="250">
        <f t="shared" si="188"/>
        <v>20700000</v>
      </c>
      <c r="AC272" s="86">
        <f t="shared" si="179"/>
        <v>20300000</v>
      </c>
      <c r="AD272" s="161">
        <f t="shared" si="180"/>
        <v>400000</v>
      </c>
      <c r="AF272" s="46">
        <f t="shared" si="164"/>
        <v>0</v>
      </c>
      <c r="AG272" s="46"/>
    </row>
    <row r="273" spans="1:33" ht="12.75" customHeight="1">
      <c r="A273" s="65"/>
      <c r="B273" s="140"/>
      <c r="C273" s="129" t="s">
        <v>43</v>
      </c>
      <c r="D273" s="141">
        <v>500000</v>
      </c>
      <c r="E273" s="113">
        <v>0</v>
      </c>
      <c r="F273" s="128">
        <v>500000</v>
      </c>
      <c r="G273" s="141">
        <f t="shared" si="181"/>
        <v>0</v>
      </c>
      <c r="H273" s="113">
        <v>0</v>
      </c>
      <c r="I273" s="128"/>
      <c r="J273" s="141">
        <f t="shared" si="182"/>
        <v>500000</v>
      </c>
      <c r="K273" s="113">
        <f t="shared" si="173"/>
        <v>0</v>
      </c>
      <c r="L273" s="128">
        <f t="shared" si="174"/>
        <v>500000</v>
      </c>
      <c r="M273" s="141">
        <f t="shared" si="183"/>
        <v>0</v>
      </c>
      <c r="N273" s="113">
        <v>0</v>
      </c>
      <c r="O273" s="128"/>
      <c r="P273" s="141">
        <f t="shared" si="184"/>
        <v>500000</v>
      </c>
      <c r="Q273" s="113">
        <f t="shared" si="175"/>
        <v>0</v>
      </c>
      <c r="R273" s="128">
        <f t="shared" si="176"/>
        <v>500000</v>
      </c>
      <c r="S273" s="141">
        <f t="shared" si="185"/>
        <v>0</v>
      </c>
      <c r="T273" s="113">
        <v>0</v>
      </c>
      <c r="U273" s="128"/>
      <c r="V273" s="141">
        <f t="shared" si="186"/>
        <v>500000</v>
      </c>
      <c r="W273" s="113">
        <f t="shared" si="177"/>
        <v>0</v>
      </c>
      <c r="X273" s="128">
        <f t="shared" si="178"/>
        <v>500000</v>
      </c>
      <c r="Y273" s="141">
        <f t="shared" si="187"/>
        <v>0</v>
      </c>
      <c r="Z273" s="113"/>
      <c r="AA273" s="128"/>
      <c r="AB273" s="141">
        <f t="shared" si="188"/>
        <v>500000</v>
      </c>
      <c r="AC273" s="113">
        <f t="shared" si="179"/>
        <v>0</v>
      </c>
      <c r="AD273" s="128">
        <f t="shared" si="180"/>
        <v>500000</v>
      </c>
      <c r="AF273" s="46">
        <f t="shared" si="164"/>
        <v>0</v>
      </c>
      <c r="AG273" s="46"/>
    </row>
    <row r="274" spans="1:33" s="120" customFormat="1" ht="12.75">
      <c r="A274" s="65"/>
      <c r="B274" s="254">
        <v>90095</v>
      </c>
      <c r="C274" s="296" t="s">
        <v>29</v>
      </c>
      <c r="D274" s="141">
        <v>12684895</v>
      </c>
      <c r="E274" s="142">
        <v>8290673</v>
      </c>
      <c r="F274" s="143">
        <v>4394222</v>
      </c>
      <c r="G274" s="141">
        <f t="shared" si="181"/>
        <v>850000</v>
      </c>
      <c r="H274" s="142">
        <f>SUM(H275:H279)</f>
        <v>100000</v>
      </c>
      <c r="I274" s="143">
        <f>SUM(I275:I279)</f>
        <v>750000</v>
      </c>
      <c r="J274" s="141">
        <f t="shared" si="182"/>
        <v>13534895</v>
      </c>
      <c r="K274" s="142">
        <f t="shared" si="173"/>
        <v>8390673</v>
      </c>
      <c r="L274" s="143">
        <f t="shared" si="174"/>
        <v>5144222</v>
      </c>
      <c r="M274" s="141">
        <f t="shared" si="183"/>
        <v>0</v>
      </c>
      <c r="N274" s="142">
        <f>SUM(N275:N279)</f>
        <v>0</v>
      </c>
      <c r="O274" s="143">
        <f>SUM(O275:O279)</f>
        <v>0</v>
      </c>
      <c r="P274" s="141">
        <f t="shared" si="184"/>
        <v>13534895</v>
      </c>
      <c r="Q274" s="142">
        <f t="shared" si="175"/>
        <v>8390673</v>
      </c>
      <c r="R274" s="143">
        <f t="shared" si="176"/>
        <v>5144222</v>
      </c>
      <c r="S274" s="141">
        <f t="shared" si="185"/>
        <v>709474</v>
      </c>
      <c r="T274" s="142">
        <f>SUM(T275:T279)</f>
        <v>698000</v>
      </c>
      <c r="U274" s="143">
        <f>SUM(U275:U279)</f>
        <v>11474</v>
      </c>
      <c r="V274" s="141">
        <f t="shared" si="186"/>
        <v>14244369</v>
      </c>
      <c r="W274" s="142">
        <f t="shared" si="177"/>
        <v>9088673</v>
      </c>
      <c r="X274" s="143">
        <f t="shared" si="178"/>
        <v>5155696</v>
      </c>
      <c r="Y274" s="141">
        <f t="shared" si="187"/>
        <v>21000</v>
      </c>
      <c r="Z274" s="142">
        <f>SUM(Z275:Z279)</f>
        <v>21000</v>
      </c>
      <c r="AA274" s="143">
        <f>SUM(AA275:AA279)</f>
        <v>0</v>
      </c>
      <c r="AB274" s="141">
        <f t="shared" si="188"/>
        <v>14265369</v>
      </c>
      <c r="AC274" s="142">
        <f t="shared" si="179"/>
        <v>9109673</v>
      </c>
      <c r="AD274" s="143">
        <f t="shared" si="180"/>
        <v>5155696</v>
      </c>
      <c r="AF274" s="46">
        <f t="shared" si="164"/>
        <v>0</v>
      </c>
      <c r="AG274" s="46"/>
    </row>
    <row r="275" spans="1:33" s="120" customFormat="1" ht="12.75">
      <c r="A275" s="65"/>
      <c r="B275" s="115"/>
      <c r="C275" s="236" t="s">
        <v>188</v>
      </c>
      <c r="D275" s="117">
        <v>1624238</v>
      </c>
      <c r="E275" s="118">
        <v>1168016</v>
      </c>
      <c r="F275" s="119">
        <v>456222</v>
      </c>
      <c r="G275" s="117">
        <f t="shared" si="181"/>
        <v>750000</v>
      </c>
      <c r="H275" s="118"/>
      <c r="I275" s="119">
        <v>750000</v>
      </c>
      <c r="J275" s="117">
        <f t="shared" si="182"/>
        <v>2374238</v>
      </c>
      <c r="K275" s="118">
        <f t="shared" si="173"/>
        <v>1168016</v>
      </c>
      <c r="L275" s="119">
        <f t="shared" si="174"/>
        <v>1206222</v>
      </c>
      <c r="M275" s="117">
        <f t="shared" si="183"/>
        <v>0</v>
      </c>
      <c r="N275" s="118"/>
      <c r="O275" s="119">
        <v>0</v>
      </c>
      <c r="P275" s="117">
        <f t="shared" si="184"/>
        <v>2374238</v>
      </c>
      <c r="Q275" s="118">
        <f t="shared" si="175"/>
        <v>1168016</v>
      </c>
      <c r="R275" s="119">
        <f t="shared" si="176"/>
        <v>1206222</v>
      </c>
      <c r="S275" s="117">
        <f t="shared" si="185"/>
        <v>0</v>
      </c>
      <c r="T275" s="118"/>
      <c r="U275" s="119">
        <v>0</v>
      </c>
      <c r="V275" s="117">
        <f t="shared" si="186"/>
        <v>2374238</v>
      </c>
      <c r="W275" s="118">
        <f t="shared" si="177"/>
        <v>1168016</v>
      </c>
      <c r="X275" s="119">
        <f t="shared" si="178"/>
        <v>1206222</v>
      </c>
      <c r="Y275" s="117">
        <f t="shared" si="187"/>
        <v>21000</v>
      </c>
      <c r="Z275" s="118">
        <v>21000</v>
      </c>
      <c r="AA275" s="119"/>
      <c r="AB275" s="117">
        <f t="shared" si="188"/>
        <v>2395238</v>
      </c>
      <c r="AC275" s="118">
        <f t="shared" si="179"/>
        <v>1189016</v>
      </c>
      <c r="AD275" s="119">
        <f t="shared" si="180"/>
        <v>1206222</v>
      </c>
      <c r="AF275" s="46">
        <f t="shared" si="164"/>
        <v>0</v>
      </c>
      <c r="AG275" s="46"/>
    </row>
    <row r="276" spans="1:33" s="120" customFormat="1" ht="13.5" customHeight="1">
      <c r="A276" s="65"/>
      <c r="B276" s="115"/>
      <c r="C276" s="236" t="s">
        <v>179</v>
      </c>
      <c r="D276" s="117">
        <v>674640</v>
      </c>
      <c r="E276" s="118">
        <v>674640</v>
      </c>
      <c r="F276" s="119">
        <v>0</v>
      </c>
      <c r="G276" s="117">
        <f t="shared" si="181"/>
        <v>100000</v>
      </c>
      <c r="H276" s="118">
        <v>100000</v>
      </c>
      <c r="I276" s="119"/>
      <c r="J276" s="117">
        <f t="shared" si="182"/>
        <v>774640</v>
      </c>
      <c r="K276" s="118">
        <f t="shared" si="173"/>
        <v>774640</v>
      </c>
      <c r="L276" s="119">
        <f t="shared" si="174"/>
        <v>0</v>
      </c>
      <c r="M276" s="117">
        <f t="shared" si="183"/>
        <v>0</v>
      </c>
      <c r="N276" s="118">
        <v>0</v>
      </c>
      <c r="O276" s="119"/>
      <c r="P276" s="117">
        <f t="shared" si="184"/>
        <v>774640</v>
      </c>
      <c r="Q276" s="118">
        <f t="shared" si="175"/>
        <v>774640</v>
      </c>
      <c r="R276" s="119">
        <f t="shared" si="176"/>
        <v>0</v>
      </c>
      <c r="S276" s="117">
        <f t="shared" si="185"/>
        <v>720000</v>
      </c>
      <c r="T276" s="118">
        <f>20000+400000+300000</f>
        <v>720000</v>
      </c>
      <c r="U276" s="119"/>
      <c r="V276" s="117">
        <f t="shared" si="186"/>
        <v>1494640</v>
      </c>
      <c r="W276" s="118">
        <f t="shared" si="177"/>
        <v>1494640</v>
      </c>
      <c r="X276" s="119">
        <f t="shared" si="178"/>
        <v>0</v>
      </c>
      <c r="Y276" s="117">
        <f t="shared" si="187"/>
        <v>0</v>
      </c>
      <c r="Z276" s="118"/>
      <c r="AA276" s="119"/>
      <c r="AB276" s="117">
        <f t="shared" si="188"/>
        <v>1494640</v>
      </c>
      <c r="AC276" s="118">
        <f t="shared" si="179"/>
        <v>1494640</v>
      </c>
      <c r="AD276" s="119">
        <f t="shared" si="180"/>
        <v>0</v>
      </c>
      <c r="AF276" s="46">
        <f t="shared" si="164"/>
        <v>0</v>
      </c>
      <c r="AG276" s="46"/>
    </row>
    <row r="277" spans="1:33" s="120" customFormat="1" ht="12.75">
      <c r="A277" s="65"/>
      <c r="B277" s="115"/>
      <c r="C277" s="236" t="s">
        <v>45</v>
      </c>
      <c r="D277" s="117">
        <v>8689935</v>
      </c>
      <c r="E277" s="118">
        <v>4789935</v>
      </c>
      <c r="F277" s="119">
        <v>3900000</v>
      </c>
      <c r="G277" s="117">
        <f t="shared" si="181"/>
        <v>0</v>
      </c>
      <c r="H277" s="118"/>
      <c r="I277" s="119"/>
      <c r="J277" s="117">
        <f t="shared" si="182"/>
        <v>8689935</v>
      </c>
      <c r="K277" s="118">
        <f t="shared" si="173"/>
        <v>4789935</v>
      </c>
      <c r="L277" s="119">
        <f t="shared" si="174"/>
        <v>3900000</v>
      </c>
      <c r="M277" s="117">
        <f t="shared" si="183"/>
        <v>0</v>
      </c>
      <c r="N277" s="118"/>
      <c r="O277" s="119"/>
      <c r="P277" s="117">
        <f t="shared" si="184"/>
        <v>8689935</v>
      </c>
      <c r="Q277" s="118">
        <f t="shared" si="175"/>
        <v>4789935</v>
      </c>
      <c r="R277" s="119">
        <f t="shared" si="176"/>
        <v>3900000</v>
      </c>
      <c r="S277" s="117">
        <f t="shared" si="185"/>
        <v>0</v>
      </c>
      <c r="T277" s="118"/>
      <c r="U277" s="119"/>
      <c r="V277" s="117">
        <f t="shared" si="186"/>
        <v>8689935</v>
      </c>
      <c r="W277" s="118">
        <f t="shared" si="177"/>
        <v>4789935</v>
      </c>
      <c r="X277" s="119">
        <f t="shared" si="178"/>
        <v>3900000</v>
      </c>
      <c r="Y277" s="117">
        <f t="shared" si="187"/>
        <v>0</v>
      </c>
      <c r="Z277" s="118"/>
      <c r="AA277" s="119"/>
      <c r="AB277" s="117">
        <f t="shared" si="188"/>
        <v>8689935</v>
      </c>
      <c r="AC277" s="118">
        <f t="shared" si="179"/>
        <v>4789935</v>
      </c>
      <c r="AD277" s="119">
        <f t="shared" si="180"/>
        <v>3900000</v>
      </c>
      <c r="AF277" s="46">
        <f t="shared" si="164"/>
        <v>0</v>
      </c>
      <c r="AG277" s="46"/>
    </row>
    <row r="278" spans="1:33" s="120" customFormat="1" ht="12.75">
      <c r="A278" s="65"/>
      <c r="B278" s="115"/>
      <c r="C278" s="236" t="s">
        <v>46</v>
      </c>
      <c r="D278" s="117">
        <v>1593550</v>
      </c>
      <c r="E278" s="118">
        <v>1593550</v>
      </c>
      <c r="F278" s="119">
        <v>0</v>
      </c>
      <c r="G278" s="117">
        <f t="shared" si="181"/>
        <v>0</v>
      </c>
      <c r="H278" s="118"/>
      <c r="I278" s="119"/>
      <c r="J278" s="117">
        <f t="shared" si="182"/>
        <v>1593550</v>
      </c>
      <c r="K278" s="118">
        <f t="shared" si="173"/>
        <v>1593550</v>
      </c>
      <c r="L278" s="119">
        <f t="shared" si="174"/>
        <v>0</v>
      </c>
      <c r="M278" s="117">
        <f t="shared" si="183"/>
        <v>0</v>
      </c>
      <c r="N278" s="118"/>
      <c r="O278" s="119"/>
      <c r="P278" s="117">
        <f t="shared" si="184"/>
        <v>1593550</v>
      </c>
      <c r="Q278" s="118">
        <f t="shared" si="175"/>
        <v>1593550</v>
      </c>
      <c r="R278" s="119">
        <f t="shared" si="176"/>
        <v>0</v>
      </c>
      <c r="S278" s="117">
        <f t="shared" si="185"/>
        <v>0</v>
      </c>
      <c r="T278" s="118"/>
      <c r="U278" s="119"/>
      <c r="V278" s="117">
        <f t="shared" si="186"/>
        <v>1593550</v>
      </c>
      <c r="W278" s="118">
        <f t="shared" si="177"/>
        <v>1593550</v>
      </c>
      <c r="X278" s="119">
        <f t="shared" si="178"/>
        <v>0</v>
      </c>
      <c r="Y278" s="117">
        <f t="shared" si="187"/>
        <v>0</v>
      </c>
      <c r="Z278" s="118"/>
      <c r="AA278" s="119"/>
      <c r="AB278" s="117">
        <f t="shared" si="188"/>
        <v>1593550</v>
      </c>
      <c r="AC278" s="118">
        <f t="shared" si="179"/>
        <v>1593550</v>
      </c>
      <c r="AD278" s="119">
        <f t="shared" si="180"/>
        <v>0</v>
      </c>
      <c r="AF278" s="46">
        <f t="shared" si="164"/>
        <v>0</v>
      </c>
      <c r="AG278" s="46"/>
    </row>
    <row r="279" spans="1:33" s="299" customFormat="1" ht="10.5" customHeight="1">
      <c r="A279" s="145"/>
      <c r="B279" s="297"/>
      <c r="C279" s="298" t="s">
        <v>33</v>
      </c>
      <c r="D279" s="294">
        <v>102532</v>
      </c>
      <c r="E279" s="111">
        <v>64532</v>
      </c>
      <c r="F279" s="127">
        <v>38000</v>
      </c>
      <c r="G279" s="294">
        <f t="shared" si="181"/>
        <v>0</v>
      </c>
      <c r="H279" s="111"/>
      <c r="I279" s="127"/>
      <c r="J279" s="294">
        <f t="shared" si="182"/>
        <v>102532</v>
      </c>
      <c r="K279" s="111">
        <f t="shared" si="173"/>
        <v>64532</v>
      </c>
      <c r="L279" s="127">
        <f t="shared" si="174"/>
        <v>38000</v>
      </c>
      <c r="M279" s="294">
        <f t="shared" si="183"/>
        <v>0</v>
      </c>
      <c r="N279" s="111"/>
      <c r="O279" s="127"/>
      <c r="P279" s="294">
        <f t="shared" si="184"/>
        <v>102532</v>
      </c>
      <c r="Q279" s="111">
        <f t="shared" si="175"/>
        <v>64532</v>
      </c>
      <c r="R279" s="127">
        <f t="shared" si="176"/>
        <v>38000</v>
      </c>
      <c r="S279" s="294">
        <f t="shared" si="185"/>
        <v>-10526</v>
      </c>
      <c r="T279" s="111">
        <v>-22000</v>
      </c>
      <c r="U279" s="127">
        <v>11474</v>
      </c>
      <c r="V279" s="294">
        <f t="shared" si="186"/>
        <v>92006</v>
      </c>
      <c r="W279" s="111">
        <f t="shared" si="177"/>
        <v>42532</v>
      </c>
      <c r="X279" s="127">
        <f t="shared" si="178"/>
        <v>49474</v>
      </c>
      <c r="Y279" s="294">
        <f t="shared" si="187"/>
        <v>0</v>
      </c>
      <c r="Z279" s="111"/>
      <c r="AA279" s="127"/>
      <c r="AB279" s="294">
        <f t="shared" si="188"/>
        <v>92006</v>
      </c>
      <c r="AC279" s="111">
        <f t="shared" si="179"/>
        <v>42532</v>
      </c>
      <c r="AD279" s="127">
        <f t="shared" si="180"/>
        <v>49474</v>
      </c>
      <c r="AF279" s="46">
        <f t="shared" si="164"/>
        <v>0</v>
      </c>
      <c r="AG279" s="46"/>
    </row>
    <row r="280" spans="1:33" s="9" customFormat="1" ht="12.75">
      <c r="A280" s="121"/>
      <c r="B280" s="101">
        <v>921</v>
      </c>
      <c r="C280" s="149" t="s">
        <v>189</v>
      </c>
      <c r="D280" s="103">
        <v>50002195</v>
      </c>
      <c r="E280" s="104">
        <v>47900195</v>
      </c>
      <c r="F280" s="171">
        <v>2102000</v>
      </c>
      <c r="G280" s="103">
        <f t="shared" si="181"/>
        <v>2022051</v>
      </c>
      <c r="H280" s="104">
        <f>H281+H284+H287+H289+H293+H295+H300+H301+H291</f>
        <v>2022051</v>
      </c>
      <c r="I280" s="171">
        <f>I281+I284+I287+I289+I293+I295+I300+I301+I291</f>
        <v>0</v>
      </c>
      <c r="J280" s="103">
        <f t="shared" si="182"/>
        <v>52024246</v>
      </c>
      <c r="K280" s="104">
        <f>K281+K284+K287+K289+K293+K295+K300+K301+K291</f>
        <v>49922246</v>
      </c>
      <c r="L280" s="171">
        <f>L281+L284+L287+L289+L293+L295+L300+L301+L291</f>
        <v>2102000</v>
      </c>
      <c r="M280" s="103">
        <f t="shared" si="183"/>
        <v>0</v>
      </c>
      <c r="N280" s="104">
        <f>N281+N284+N287+N289+N293+N295+N300+N301+N291</f>
        <v>0</v>
      </c>
      <c r="O280" s="171">
        <f>O281+O284+O287+O289+O293+O295+O300+O301+O291</f>
        <v>0</v>
      </c>
      <c r="P280" s="103">
        <f t="shared" si="184"/>
        <v>52024246</v>
      </c>
      <c r="Q280" s="104">
        <f>Q281+Q284+Q287+Q289+Q293+Q295+Q300+Q301+Q291</f>
        <v>49922246</v>
      </c>
      <c r="R280" s="171">
        <f>R281+R284+R287+R289+R293+R295+R300+R301+R291</f>
        <v>2102000</v>
      </c>
      <c r="S280" s="103">
        <f t="shared" si="185"/>
        <v>5076791</v>
      </c>
      <c r="T280" s="104">
        <f>T281+T284+T287+T289+T293+T295+T300+T301+T291</f>
        <v>-23209</v>
      </c>
      <c r="U280" s="171">
        <f>U281+U284+U287+U289+U293+U295+U300+U301+U291</f>
        <v>5100000</v>
      </c>
      <c r="V280" s="103">
        <f t="shared" si="186"/>
        <v>57101037</v>
      </c>
      <c r="W280" s="104">
        <f>W281+W284+W287+W289+W293+W295+W300+W301+W291</f>
        <v>49899037</v>
      </c>
      <c r="X280" s="171">
        <f>X281+X284+X287+X289+X293+X295+X300+X301+X291</f>
        <v>7202000</v>
      </c>
      <c r="Y280" s="103">
        <f t="shared" si="187"/>
        <v>0</v>
      </c>
      <c r="Z280" s="104">
        <f>Z281+Z284+Z287+Z289+Z293+Z295+Z300+Z301+Z291</f>
        <v>0</v>
      </c>
      <c r="AA280" s="171">
        <f>AA281+AA284+AA287+AA289+AA293+AA295+AA300+AA301+AA291</f>
        <v>0</v>
      </c>
      <c r="AB280" s="103">
        <f t="shared" si="188"/>
        <v>57101037</v>
      </c>
      <c r="AC280" s="104">
        <f>AC281+AC284+AC287+AC289+AC293+AC295+AC300+AC301+AC291</f>
        <v>49899037</v>
      </c>
      <c r="AD280" s="171">
        <f>AD281+AD284+AD287+AD289+AD293+AD295+AD300+AD301+AD291</f>
        <v>7202000</v>
      </c>
      <c r="AF280" s="46">
        <f t="shared" si="164"/>
        <v>0</v>
      </c>
      <c r="AG280" s="46"/>
    </row>
    <row r="281" spans="1:33" ht="12.75">
      <c r="A281" s="65"/>
      <c r="B281" s="136">
        <v>92105</v>
      </c>
      <c r="C281" s="137" t="s">
        <v>190</v>
      </c>
      <c r="D281" s="165">
        <v>5413949</v>
      </c>
      <c r="E281" s="138">
        <v>5413949</v>
      </c>
      <c r="F281" s="178">
        <v>0</v>
      </c>
      <c r="G281" s="165">
        <f>SUM(G282:G283)</f>
        <v>-11949</v>
      </c>
      <c r="H281" s="138">
        <f>SUM(H282:H283)</f>
        <v>-11949</v>
      </c>
      <c r="I281" s="178">
        <f>SUM(I282:I283)</f>
        <v>0</v>
      </c>
      <c r="J281" s="165">
        <f>SUM(J282:J283)</f>
        <v>5402000</v>
      </c>
      <c r="K281" s="138">
        <f aca="true" t="shared" si="189" ref="K281:K308">E281+H281</f>
        <v>5402000</v>
      </c>
      <c r="L281" s="178">
        <f aca="true" t="shared" si="190" ref="L281:L308">I281+F281</f>
        <v>0</v>
      </c>
      <c r="M281" s="165">
        <f>SUM(M282:M283)</f>
        <v>0</v>
      </c>
      <c r="N281" s="138">
        <f>SUM(N282:N283)</f>
        <v>0</v>
      </c>
      <c r="O281" s="178">
        <f>SUM(O282:O283)</f>
        <v>0</v>
      </c>
      <c r="P281" s="165">
        <f>SUM(P282:P283)</f>
        <v>5402000</v>
      </c>
      <c r="Q281" s="138">
        <f aca="true" t="shared" si="191" ref="Q281:Q308">K281+N281</f>
        <v>5402000</v>
      </c>
      <c r="R281" s="178">
        <f aca="true" t="shared" si="192" ref="R281:R308">O281+L281</f>
        <v>0</v>
      </c>
      <c r="S281" s="165">
        <f>SUM(S282:S283)</f>
        <v>0</v>
      </c>
      <c r="T281" s="138">
        <f>SUM(T282:T283)</f>
        <v>0</v>
      </c>
      <c r="U281" s="178">
        <f>SUM(U282:U283)</f>
        <v>0</v>
      </c>
      <c r="V281" s="165">
        <f>SUM(V282:V283)</f>
        <v>5402000</v>
      </c>
      <c r="W281" s="138">
        <f aca="true" t="shared" si="193" ref="W281:W308">Q281+T281</f>
        <v>5402000</v>
      </c>
      <c r="X281" s="178">
        <f aca="true" t="shared" si="194" ref="X281:X308">U281+R281</f>
        <v>0</v>
      </c>
      <c r="Y281" s="165">
        <f>SUM(Y282:Y283)</f>
        <v>0</v>
      </c>
      <c r="Z281" s="138">
        <f>SUM(Z282:Z283)</f>
        <v>0</v>
      </c>
      <c r="AA281" s="178">
        <f>SUM(AA282:AA283)</f>
        <v>0</v>
      </c>
      <c r="AB281" s="165">
        <f>SUM(AB282:AB283)</f>
        <v>5402000</v>
      </c>
      <c r="AC281" s="138">
        <f aca="true" t="shared" si="195" ref="AC281:AC308">W281+Z281</f>
        <v>5402000</v>
      </c>
      <c r="AD281" s="178">
        <f aca="true" t="shared" si="196" ref="AD281:AD308">AA281+X281</f>
        <v>0</v>
      </c>
      <c r="AF281" s="46">
        <f t="shared" si="164"/>
        <v>0</v>
      </c>
      <c r="AG281" s="46"/>
    </row>
    <row r="282" spans="1:33" ht="12.75">
      <c r="A282" s="65"/>
      <c r="B282" s="300"/>
      <c r="C282" s="301" t="s">
        <v>191</v>
      </c>
      <c r="D282" s="88">
        <v>5402000</v>
      </c>
      <c r="E282" s="288">
        <v>5402000</v>
      </c>
      <c r="F282" s="289">
        <v>0</v>
      </c>
      <c r="G282" s="88">
        <f>H282+I282</f>
        <v>0</v>
      </c>
      <c r="H282" s="288"/>
      <c r="I282" s="289">
        <v>0</v>
      </c>
      <c r="J282" s="88">
        <f>K282+L282</f>
        <v>5402000</v>
      </c>
      <c r="K282" s="288">
        <f t="shared" si="189"/>
        <v>5402000</v>
      </c>
      <c r="L282" s="289">
        <f t="shared" si="190"/>
        <v>0</v>
      </c>
      <c r="M282" s="88">
        <f>N282+O282</f>
        <v>0</v>
      </c>
      <c r="N282" s="288"/>
      <c r="O282" s="289">
        <v>0</v>
      </c>
      <c r="P282" s="88">
        <f>Q282+R282</f>
        <v>5402000</v>
      </c>
      <c r="Q282" s="288">
        <f t="shared" si="191"/>
        <v>5402000</v>
      </c>
      <c r="R282" s="289">
        <f t="shared" si="192"/>
        <v>0</v>
      </c>
      <c r="S282" s="88">
        <f>T282+U282</f>
        <v>0</v>
      </c>
      <c r="T282" s="288"/>
      <c r="U282" s="289">
        <v>0</v>
      </c>
      <c r="V282" s="88">
        <f>W282+X282</f>
        <v>5402000</v>
      </c>
      <c r="W282" s="288">
        <f t="shared" si="193"/>
        <v>5402000</v>
      </c>
      <c r="X282" s="289">
        <f t="shared" si="194"/>
        <v>0</v>
      </c>
      <c r="Y282" s="88">
        <f>Z282+AA282</f>
        <v>0</v>
      </c>
      <c r="Z282" s="288"/>
      <c r="AA282" s="289">
        <v>0</v>
      </c>
      <c r="AB282" s="88">
        <f>AC282+AD282</f>
        <v>5402000</v>
      </c>
      <c r="AC282" s="288">
        <f t="shared" si="195"/>
        <v>5402000</v>
      </c>
      <c r="AD282" s="289">
        <f t="shared" si="196"/>
        <v>0</v>
      </c>
      <c r="AF282" s="46">
        <f t="shared" si="164"/>
        <v>0</v>
      </c>
      <c r="AG282" s="46"/>
    </row>
    <row r="283" spans="1:33" s="212" customFormat="1" ht="12.75" hidden="1">
      <c r="A283" s="211"/>
      <c r="B283" s="302"/>
      <c r="C283" s="303" t="s">
        <v>33</v>
      </c>
      <c r="D283" s="304">
        <v>11949</v>
      </c>
      <c r="E283" s="305">
        <v>11949</v>
      </c>
      <c r="F283" s="306">
        <v>0</v>
      </c>
      <c r="G283" s="304">
        <f>H283+I283</f>
        <v>-11949</v>
      </c>
      <c r="H283" s="305">
        <v>-11949</v>
      </c>
      <c r="I283" s="306">
        <v>0</v>
      </c>
      <c r="J283" s="304">
        <f>K283+L283</f>
        <v>0</v>
      </c>
      <c r="K283" s="305">
        <f t="shared" si="189"/>
        <v>0</v>
      </c>
      <c r="L283" s="306">
        <f t="shared" si="190"/>
        <v>0</v>
      </c>
      <c r="M283" s="304">
        <f>N283+O283</f>
        <v>0</v>
      </c>
      <c r="N283" s="305">
        <v>0</v>
      </c>
      <c r="O283" s="306">
        <v>0</v>
      </c>
      <c r="P283" s="304">
        <f>Q283+R283</f>
        <v>0</v>
      </c>
      <c r="Q283" s="305">
        <f t="shared" si="191"/>
        <v>0</v>
      </c>
      <c r="R283" s="306">
        <f t="shared" si="192"/>
        <v>0</v>
      </c>
      <c r="S283" s="304">
        <f>T283+U283</f>
        <v>0</v>
      </c>
      <c r="T283" s="305">
        <v>0</v>
      </c>
      <c r="U283" s="306">
        <v>0</v>
      </c>
      <c r="V283" s="304">
        <f>W283+X283</f>
        <v>0</v>
      </c>
      <c r="W283" s="305">
        <f t="shared" si="193"/>
        <v>0</v>
      </c>
      <c r="X283" s="306">
        <f t="shared" si="194"/>
        <v>0</v>
      </c>
      <c r="Y283" s="304">
        <f>Z283+AA283</f>
        <v>0</v>
      </c>
      <c r="Z283" s="305">
        <v>0</v>
      </c>
      <c r="AA283" s="306">
        <v>0</v>
      </c>
      <c r="AB283" s="304">
        <f>AC283+AD283</f>
        <v>0</v>
      </c>
      <c r="AC283" s="305">
        <f t="shared" si="195"/>
        <v>0</v>
      </c>
      <c r="AD283" s="306">
        <f t="shared" si="196"/>
        <v>0</v>
      </c>
      <c r="AF283" s="46">
        <f aca="true" t="shared" si="197" ref="AF283:AF346">V283-(S283+P283)</f>
        <v>0</v>
      </c>
      <c r="AG283" s="201"/>
    </row>
    <row r="284" spans="1:33" ht="12.75">
      <c r="A284" s="65"/>
      <c r="B284" s="106">
        <v>92109</v>
      </c>
      <c r="C284" s="83" t="s">
        <v>192</v>
      </c>
      <c r="D284" s="80">
        <v>241493</v>
      </c>
      <c r="E284" s="81">
        <v>241493</v>
      </c>
      <c r="F284" s="82">
        <v>0</v>
      </c>
      <c r="G284" s="80">
        <f>SUM(G285:G286)</f>
        <v>0</v>
      </c>
      <c r="H284" s="81">
        <f>SUM(H285:H286)</f>
        <v>0</v>
      </c>
      <c r="I284" s="82">
        <f>SUM(I285:I286)</f>
        <v>0</v>
      </c>
      <c r="J284" s="80">
        <f>SUM(J285:J286)</f>
        <v>241493</v>
      </c>
      <c r="K284" s="81">
        <f t="shared" si="189"/>
        <v>241493</v>
      </c>
      <c r="L284" s="82">
        <f t="shared" si="190"/>
        <v>0</v>
      </c>
      <c r="M284" s="80">
        <f>SUM(M285:M286)</f>
        <v>0</v>
      </c>
      <c r="N284" s="81">
        <f>SUM(N285:N286)</f>
        <v>0</v>
      </c>
      <c r="O284" s="82">
        <f>SUM(O285:O286)</f>
        <v>0</v>
      </c>
      <c r="P284" s="80">
        <f>SUM(P285:P286)</f>
        <v>241493</v>
      </c>
      <c r="Q284" s="81">
        <f t="shared" si="191"/>
        <v>241493</v>
      </c>
      <c r="R284" s="82">
        <f t="shared" si="192"/>
        <v>0</v>
      </c>
      <c r="S284" s="80">
        <f>SUM(S285:S286)</f>
        <v>0</v>
      </c>
      <c r="T284" s="81">
        <f>SUM(T285:T286)</f>
        <v>0</v>
      </c>
      <c r="U284" s="82">
        <f>SUM(U285:U286)</f>
        <v>0</v>
      </c>
      <c r="V284" s="80">
        <f>SUM(V285:V286)</f>
        <v>241493</v>
      </c>
      <c r="W284" s="81">
        <f t="shared" si="193"/>
        <v>241493</v>
      </c>
      <c r="X284" s="82">
        <f t="shared" si="194"/>
        <v>0</v>
      </c>
      <c r="Y284" s="80">
        <f>SUM(Y285:Y286)</f>
        <v>0</v>
      </c>
      <c r="Z284" s="81">
        <f>SUM(Z285:Z286)</f>
        <v>0</v>
      </c>
      <c r="AA284" s="82">
        <f>SUM(AA285:AA286)</f>
        <v>0</v>
      </c>
      <c r="AB284" s="80">
        <f>SUM(AB285:AB286)</f>
        <v>241493</v>
      </c>
      <c r="AC284" s="81">
        <f t="shared" si="195"/>
        <v>241493</v>
      </c>
      <c r="AD284" s="82">
        <f t="shared" si="196"/>
        <v>0</v>
      </c>
      <c r="AF284" s="46">
        <f t="shared" si="197"/>
        <v>0</v>
      </c>
      <c r="AG284" s="46"/>
    </row>
    <row r="285" spans="1:33" ht="12.75">
      <c r="A285" s="65"/>
      <c r="B285" s="108"/>
      <c r="C285" s="208" t="s">
        <v>193</v>
      </c>
      <c r="D285" s="91">
        <v>241493</v>
      </c>
      <c r="E285" s="92">
        <v>241493</v>
      </c>
      <c r="F285" s="186">
        <v>0</v>
      </c>
      <c r="G285" s="91">
        <f>H285+I285</f>
        <v>0</v>
      </c>
      <c r="H285" s="92"/>
      <c r="I285" s="186">
        <v>0</v>
      </c>
      <c r="J285" s="91">
        <f>K285+L285</f>
        <v>241493</v>
      </c>
      <c r="K285" s="92">
        <f t="shared" si="189"/>
        <v>241493</v>
      </c>
      <c r="L285" s="186">
        <f t="shared" si="190"/>
        <v>0</v>
      </c>
      <c r="M285" s="91">
        <f>N285+O285</f>
        <v>0</v>
      </c>
      <c r="N285" s="92"/>
      <c r="O285" s="186">
        <v>0</v>
      </c>
      <c r="P285" s="91">
        <f>Q285+R285</f>
        <v>241493</v>
      </c>
      <c r="Q285" s="92">
        <f t="shared" si="191"/>
        <v>241493</v>
      </c>
      <c r="R285" s="186">
        <f t="shared" si="192"/>
        <v>0</v>
      </c>
      <c r="S285" s="91">
        <f>T285+U285</f>
        <v>0</v>
      </c>
      <c r="T285" s="92"/>
      <c r="U285" s="186">
        <v>0</v>
      </c>
      <c r="V285" s="91">
        <f>W285+X285</f>
        <v>241493</v>
      </c>
      <c r="W285" s="92">
        <f t="shared" si="193"/>
        <v>241493</v>
      </c>
      <c r="X285" s="186">
        <f t="shared" si="194"/>
        <v>0</v>
      </c>
      <c r="Y285" s="91">
        <f>Z285+AA285</f>
        <v>0</v>
      </c>
      <c r="Z285" s="92"/>
      <c r="AA285" s="186"/>
      <c r="AB285" s="91">
        <f>AC285+AD285</f>
        <v>241493</v>
      </c>
      <c r="AC285" s="92">
        <f t="shared" si="195"/>
        <v>241493</v>
      </c>
      <c r="AD285" s="186">
        <f t="shared" si="196"/>
        <v>0</v>
      </c>
      <c r="AF285" s="46">
        <f t="shared" si="197"/>
        <v>0</v>
      </c>
      <c r="AG285" s="46"/>
    </row>
    <row r="286" spans="1:33" s="100" customFormat="1" ht="12.75" hidden="1">
      <c r="A286" s="94"/>
      <c r="B286" s="126"/>
      <c r="C286" s="132" t="s">
        <v>33</v>
      </c>
      <c r="D286" s="97">
        <v>0</v>
      </c>
      <c r="E286" s="98">
        <v>0</v>
      </c>
      <c r="F286" s="220">
        <v>0</v>
      </c>
      <c r="G286" s="97">
        <f>H286+I286</f>
        <v>0</v>
      </c>
      <c r="H286" s="98">
        <v>0</v>
      </c>
      <c r="I286" s="220">
        <v>0</v>
      </c>
      <c r="J286" s="97">
        <f>K286+L286</f>
        <v>0</v>
      </c>
      <c r="K286" s="98">
        <f t="shared" si="189"/>
        <v>0</v>
      </c>
      <c r="L286" s="220">
        <f t="shared" si="190"/>
        <v>0</v>
      </c>
      <c r="M286" s="97">
        <f>N286+O286</f>
        <v>0</v>
      </c>
      <c r="N286" s="98">
        <v>0</v>
      </c>
      <c r="O286" s="220">
        <v>0</v>
      </c>
      <c r="P286" s="97">
        <f>Q286+R286</f>
        <v>0</v>
      </c>
      <c r="Q286" s="98">
        <f t="shared" si="191"/>
        <v>0</v>
      </c>
      <c r="R286" s="220">
        <f t="shared" si="192"/>
        <v>0</v>
      </c>
      <c r="S286" s="97">
        <f>T286+U286</f>
        <v>0</v>
      </c>
      <c r="T286" s="98">
        <v>0</v>
      </c>
      <c r="U286" s="220">
        <v>0</v>
      </c>
      <c r="V286" s="97">
        <f>W286+X286</f>
        <v>0</v>
      </c>
      <c r="W286" s="98">
        <f t="shared" si="193"/>
        <v>0</v>
      </c>
      <c r="X286" s="220">
        <f t="shared" si="194"/>
        <v>0</v>
      </c>
      <c r="Y286" s="97">
        <f>Z286+AA286</f>
        <v>0</v>
      </c>
      <c r="Z286" s="98">
        <v>0</v>
      </c>
      <c r="AA286" s="220">
        <v>0</v>
      </c>
      <c r="AB286" s="97">
        <f>AC286+AD286</f>
        <v>0</v>
      </c>
      <c r="AC286" s="98">
        <f t="shared" si="195"/>
        <v>0</v>
      </c>
      <c r="AD286" s="220">
        <f t="shared" si="196"/>
        <v>0</v>
      </c>
      <c r="AF286" s="46">
        <f t="shared" si="197"/>
        <v>0</v>
      </c>
      <c r="AG286" s="46"/>
    </row>
    <row r="287" spans="1:33" ht="12.75">
      <c r="A287" s="65"/>
      <c r="B287" s="106">
        <v>92110</v>
      </c>
      <c r="C287" s="83" t="s">
        <v>194</v>
      </c>
      <c r="D287" s="80">
        <v>1118325</v>
      </c>
      <c r="E287" s="81">
        <v>1107325</v>
      </c>
      <c r="F287" s="82">
        <v>11000</v>
      </c>
      <c r="G287" s="80">
        <f>G288</f>
        <v>0</v>
      </c>
      <c r="H287" s="81">
        <f>H288</f>
        <v>0</v>
      </c>
      <c r="I287" s="82">
        <f>I288</f>
        <v>0</v>
      </c>
      <c r="J287" s="80">
        <f>J288</f>
        <v>1118325</v>
      </c>
      <c r="K287" s="81">
        <f t="shared" si="189"/>
        <v>1107325</v>
      </c>
      <c r="L287" s="82">
        <f t="shared" si="190"/>
        <v>11000</v>
      </c>
      <c r="M287" s="80">
        <f>M288</f>
        <v>0</v>
      </c>
      <c r="N287" s="81">
        <f>N288</f>
        <v>0</v>
      </c>
      <c r="O287" s="82">
        <f>O288</f>
        <v>0</v>
      </c>
      <c r="P287" s="80">
        <f>P288</f>
        <v>1118325</v>
      </c>
      <c r="Q287" s="81">
        <f t="shared" si="191"/>
        <v>1107325</v>
      </c>
      <c r="R287" s="82">
        <f t="shared" si="192"/>
        <v>11000</v>
      </c>
      <c r="S287" s="80">
        <f>S288</f>
        <v>50000</v>
      </c>
      <c r="T287" s="81">
        <f>T288</f>
        <v>50000</v>
      </c>
      <c r="U287" s="82">
        <f>U288</f>
        <v>0</v>
      </c>
      <c r="V287" s="80">
        <f>V288</f>
        <v>1168325</v>
      </c>
      <c r="W287" s="81">
        <f t="shared" si="193"/>
        <v>1157325</v>
      </c>
      <c r="X287" s="82">
        <f t="shared" si="194"/>
        <v>11000</v>
      </c>
      <c r="Y287" s="80">
        <f>Y288</f>
        <v>0</v>
      </c>
      <c r="Z287" s="81">
        <f>Z288</f>
        <v>0</v>
      </c>
      <c r="AA287" s="82">
        <f>AA288</f>
        <v>0</v>
      </c>
      <c r="AB287" s="80">
        <f>AB288</f>
        <v>1168325</v>
      </c>
      <c r="AC287" s="81">
        <f t="shared" si="195"/>
        <v>1157325</v>
      </c>
      <c r="AD287" s="82">
        <f t="shared" si="196"/>
        <v>11000</v>
      </c>
      <c r="AF287" s="46">
        <f t="shared" si="197"/>
        <v>0</v>
      </c>
      <c r="AG287" s="46"/>
    </row>
    <row r="288" spans="1:33" ht="12.75">
      <c r="A288" s="65"/>
      <c r="B288" s="106"/>
      <c r="C288" s="83" t="s">
        <v>195</v>
      </c>
      <c r="D288" s="80">
        <v>1118325</v>
      </c>
      <c r="E288" s="81">
        <v>1107325</v>
      </c>
      <c r="F288" s="190">
        <v>11000</v>
      </c>
      <c r="G288" s="80">
        <f>H288+I288</f>
        <v>0</v>
      </c>
      <c r="H288" s="81"/>
      <c r="I288" s="190"/>
      <c r="J288" s="80">
        <f>K288+L288</f>
        <v>1118325</v>
      </c>
      <c r="K288" s="81">
        <f t="shared" si="189"/>
        <v>1107325</v>
      </c>
      <c r="L288" s="190">
        <f t="shared" si="190"/>
        <v>11000</v>
      </c>
      <c r="M288" s="80">
        <f>N288+O288</f>
        <v>0</v>
      </c>
      <c r="N288" s="81"/>
      <c r="O288" s="190"/>
      <c r="P288" s="80">
        <f>Q288+R288</f>
        <v>1118325</v>
      </c>
      <c r="Q288" s="81">
        <f t="shared" si="191"/>
        <v>1107325</v>
      </c>
      <c r="R288" s="190">
        <f t="shared" si="192"/>
        <v>11000</v>
      </c>
      <c r="S288" s="80">
        <f>T288+U288</f>
        <v>50000</v>
      </c>
      <c r="T288" s="81">
        <v>50000</v>
      </c>
      <c r="U288" s="190"/>
      <c r="V288" s="80">
        <f>W288+X288</f>
        <v>1168325</v>
      </c>
      <c r="W288" s="81">
        <f t="shared" si="193"/>
        <v>1157325</v>
      </c>
      <c r="X288" s="190">
        <f t="shared" si="194"/>
        <v>11000</v>
      </c>
      <c r="Y288" s="80">
        <f>Z288+AA288</f>
        <v>0</v>
      </c>
      <c r="Z288" s="81"/>
      <c r="AA288" s="190"/>
      <c r="AB288" s="80">
        <f>AC288+AD288</f>
        <v>1168325</v>
      </c>
      <c r="AC288" s="81">
        <f t="shared" si="195"/>
        <v>1157325</v>
      </c>
      <c r="AD288" s="190">
        <f t="shared" si="196"/>
        <v>11000</v>
      </c>
      <c r="AF288" s="46">
        <f t="shared" si="197"/>
        <v>0</v>
      </c>
      <c r="AG288" s="46"/>
    </row>
    <row r="289" spans="1:33" ht="12.75">
      <c r="A289" s="65"/>
      <c r="B289" s="108">
        <v>92113</v>
      </c>
      <c r="C289" s="90" t="s">
        <v>196</v>
      </c>
      <c r="D289" s="91">
        <v>10809779</v>
      </c>
      <c r="E289" s="92">
        <v>9783779</v>
      </c>
      <c r="F289" s="93">
        <v>1026000</v>
      </c>
      <c r="G289" s="91">
        <f>SUM(G290:G290)</f>
        <v>1000000</v>
      </c>
      <c r="H289" s="92">
        <f>H290</f>
        <v>1000000</v>
      </c>
      <c r="I289" s="93">
        <f>I290</f>
        <v>0</v>
      </c>
      <c r="J289" s="91">
        <f>SUM(J290:J290)</f>
        <v>11809779</v>
      </c>
      <c r="K289" s="92">
        <f t="shared" si="189"/>
        <v>10783779</v>
      </c>
      <c r="L289" s="93">
        <f t="shared" si="190"/>
        <v>1026000</v>
      </c>
      <c r="M289" s="91">
        <f>SUM(M290:M290)</f>
        <v>0</v>
      </c>
      <c r="N289" s="92">
        <f>N290</f>
        <v>0</v>
      </c>
      <c r="O289" s="93">
        <f>O290</f>
        <v>0</v>
      </c>
      <c r="P289" s="91">
        <f>SUM(P290:P290)</f>
        <v>11809779</v>
      </c>
      <c r="Q289" s="92">
        <f t="shared" si="191"/>
        <v>10783779</v>
      </c>
      <c r="R289" s="93">
        <f t="shared" si="192"/>
        <v>1026000</v>
      </c>
      <c r="S289" s="91">
        <f>SUM(S290:S290)</f>
        <v>650000</v>
      </c>
      <c r="T289" s="92">
        <f>T290</f>
        <v>650000</v>
      </c>
      <c r="U289" s="93">
        <f>U290</f>
        <v>0</v>
      </c>
      <c r="V289" s="91">
        <f>SUM(V290:V290)</f>
        <v>12459779</v>
      </c>
      <c r="W289" s="92">
        <f t="shared" si="193"/>
        <v>11433779</v>
      </c>
      <c r="X289" s="93">
        <f t="shared" si="194"/>
        <v>1026000</v>
      </c>
      <c r="Y289" s="91">
        <f>SUM(Y290:Y290)</f>
        <v>0</v>
      </c>
      <c r="Z289" s="92">
        <f>Z290</f>
        <v>0</v>
      </c>
      <c r="AA289" s="93">
        <f>AA290</f>
        <v>0</v>
      </c>
      <c r="AB289" s="91">
        <f>SUM(AB290:AB290)</f>
        <v>12459779</v>
      </c>
      <c r="AC289" s="92">
        <f t="shared" si="195"/>
        <v>11433779</v>
      </c>
      <c r="AD289" s="93">
        <f t="shared" si="196"/>
        <v>1026000</v>
      </c>
      <c r="AF289" s="46">
        <f t="shared" si="197"/>
        <v>0</v>
      </c>
      <c r="AG289" s="46"/>
    </row>
    <row r="290" spans="1:33" ht="12.75">
      <c r="A290" s="65"/>
      <c r="B290" s="130"/>
      <c r="C290" s="85" t="s">
        <v>197</v>
      </c>
      <c r="D290" s="88">
        <v>10809779</v>
      </c>
      <c r="E290" s="86">
        <v>9783779</v>
      </c>
      <c r="F290" s="87">
        <v>1026000</v>
      </c>
      <c r="G290" s="88">
        <f>H290+I290</f>
        <v>1000000</v>
      </c>
      <c r="H290" s="86">
        <v>1000000</v>
      </c>
      <c r="I290" s="87"/>
      <c r="J290" s="88">
        <f>K290+L290</f>
        <v>11809779</v>
      </c>
      <c r="K290" s="86">
        <f t="shared" si="189"/>
        <v>10783779</v>
      </c>
      <c r="L290" s="87">
        <f t="shared" si="190"/>
        <v>1026000</v>
      </c>
      <c r="M290" s="88">
        <f>N290+O290</f>
        <v>0</v>
      </c>
      <c r="N290" s="86">
        <v>0</v>
      </c>
      <c r="O290" s="87"/>
      <c r="P290" s="88">
        <f>Q290+R290</f>
        <v>11809779</v>
      </c>
      <c r="Q290" s="86">
        <f t="shared" si="191"/>
        <v>10783779</v>
      </c>
      <c r="R290" s="87">
        <f t="shared" si="192"/>
        <v>1026000</v>
      </c>
      <c r="S290" s="88">
        <f>T290+U290</f>
        <v>650000</v>
      </c>
      <c r="T290" s="86">
        <f>250000+400000</f>
        <v>650000</v>
      </c>
      <c r="U290" s="87"/>
      <c r="V290" s="88">
        <f>W290+X290</f>
        <v>12459779</v>
      </c>
      <c r="W290" s="86">
        <f t="shared" si="193"/>
        <v>11433779</v>
      </c>
      <c r="X290" s="87">
        <f t="shared" si="194"/>
        <v>1026000</v>
      </c>
      <c r="Y290" s="88">
        <f>Z290+AA290</f>
        <v>0</v>
      </c>
      <c r="Z290" s="86"/>
      <c r="AA290" s="87"/>
      <c r="AB290" s="88">
        <f>AC290+AD290</f>
        <v>12459779</v>
      </c>
      <c r="AC290" s="86">
        <f t="shared" si="195"/>
        <v>11433779</v>
      </c>
      <c r="AD290" s="87">
        <f t="shared" si="196"/>
        <v>1026000</v>
      </c>
      <c r="AF290" s="46">
        <f t="shared" si="197"/>
        <v>0</v>
      </c>
      <c r="AG290" s="46"/>
    </row>
    <row r="291" spans="1:33" ht="12.75">
      <c r="A291" s="65"/>
      <c r="B291" s="130">
        <v>92114</v>
      </c>
      <c r="C291" s="85" t="s">
        <v>198</v>
      </c>
      <c r="D291" s="80">
        <v>412932</v>
      </c>
      <c r="E291" s="81">
        <v>412932</v>
      </c>
      <c r="F291" s="82">
        <v>0</v>
      </c>
      <c r="G291" s="80">
        <f>SUM(G292:G292)</f>
        <v>0</v>
      </c>
      <c r="H291" s="81">
        <f>H292</f>
        <v>0</v>
      </c>
      <c r="I291" s="82">
        <f>I292</f>
        <v>0</v>
      </c>
      <c r="J291" s="80">
        <f>SUM(J292:J292)</f>
        <v>412932</v>
      </c>
      <c r="K291" s="81">
        <f t="shared" si="189"/>
        <v>412932</v>
      </c>
      <c r="L291" s="82">
        <f t="shared" si="190"/>
        <v>0</v>
      </c>
      <c r="M291" s="80">
        <f>SUM(M292:M292)</f>
        <v>0</v>
      </c>
      <c r="N291" s="81">
        <f>N292</f>
        <v>0</v>
      </c>
      <c r="O291" s="82">
        <f>O292</f>
        <v>0</v>
      </c>
      <c r="P291" s="80">
        <f>SUM(P292:P292)</f>
        <v>412932</v>
      </c>
      <c r="Q291" s="81">
        <f t="shared" si="191"/>
        <v>412932</v>
      </c>
      <c r="R291" s="82">
        <f t="shared" si="192"/>
        <v>0</v>
      </c>
      <c r="S291" s="80">
        <f>SUM(S292:S292)</f>
        <v>0</v>
      </c>
      <c r="T291" s="81">
        <f>T292</f>
        <v>0</v>
      </c>
      <c r="U291" s="82">
        <f>U292</f>
        <v>0</v>
      </c>
      <c r="V291" s="80">
        <f>SUM(V292:V292)</f>
        <v>412932</v>
      </c>
      <c r="W291" s="81">
        <f t="shared" si="193"/>
        <v>412932</v>
      </c>
      <c r="X291" s="82">
        <f t="shared" si="194"/>
        <v>0</v>
      </c>
      <c r="Y291" s="80">
        <f>SUM(Y292:Y292)</f>
        <v>0</v>
      </c>
      <c r="Z291" s="81">
        <f>Z292</f>
        <v>0</v>
      </c>
      <c r="AA291" s="82">
        <f>AA292</f>
        <v>0</v>
      </c>
      <c r="AB291" s="80">
        <f>SUM(AB292:AB292)</f>
        <v>412932</v>
      </c>
      <c r="AC291" s="81">
        <f t="shared" si="195"/>
        <v>412932</v>
      </c>
      <c r="AD291" s="82">
        <f t="shared" si="196"/>
        <v>0</v>
      </c>
      <c r="AF291" s="46">
        <f t="shared" si="197"/>
        <v>0</v>
      </c>
      <c r="AG291" s="46"/>
    </row>
    <row r="292" spans="1:33" ht="12.75">
      <c r="A292" s="65"/>
      <c r="B292" s="106"/>
      <c r="C292" s="83" t="s">
        <v>199</v>
      </c>
      <c r="D292" s="80">
        <v>412932</v>
      </c>
      <c r="E292" s="81">
        <v>412932</v>
      </c>
      <c r="F292" s="82">
        <v>0</v>
      </c>
      <c r="G292" s="80">
        <f>H292+I292</f>
        <v>0</v>
      </c>
      <c r="H292" s="81"/>
      <c r="I292" s="82">
        <v>0</v>
      </c>
      <c r="J292" s="80">
        <f>K292+L292</f>
        <v>412932</v>
      </c>
      <c r="K292" s="81">
        <f t="shared" si="189"/>
        <v>412932</v>
      </c>
      <c r="L292" s="82">
        <f t="shared" si="190"/>
        <v>0</v>
      </c>
      <c r="M292" s="80">
        <f>N292+O292</f>
        <v>0</v>
      </c>
      <c r="N292" s="81"/>
      <c r="O292" s="82">
        <v>0</v>
      </c>
      <c r="P292" s="80">
        <f>Q292+R292</f>
        <v>412932</v>
      </c>
      <c r="Q292" s="81">
        <f t="shared" si="191"/>
        <v>412932</v>
      </c>
      <c r="R292" s="82">
        <f t="shared" si="192"/>
        <v>0</v>
      </c>
      <c r="S292" s="80">
        <f>T292+U292</f>
        <v>0</v>
      </c>
      <c r="T292" s="81"/>
      <c r="U292" s="82">
        <v>0</v>
      </c>
      <c r="V292" s="80">
        <f>W292+X292</f>
        <v>412932</v>
      </c>
      <c r="W292" s="81">
        <f t="shared" si="193"/>
        <v>412932</v>
      </c>
      <c r="X292" s="82">
        <f t="shared" si="194"/>
        <v>0</v>
      </c>
      <c r="Y292" s="80">
        <f>Z292+AA292</f>
        <v>0</v>
      </c>
      <c r="Z292" s="81"/>
      <c r="AA292" s="82"/>
      <c r="AB292" s="80">
        <f>AC292+AD292</f>
        <v>412932</v>
      </c>
      <c r="AC292" s="81">
        <f t="shared" si="195"/>
        <v>412932</v>
      </c>
      <c r="AD292" s="82">
        <f t="shared" si="196"/>
        <v>0</v>
      </c>
      <c r="AF292" s="46">
        <f t="shared" si="197"/>
        <v>0</v>
      </c>
      <c r="AG292" s="46"/>
    </row>
    <row r="293" spans="1:33" ht="12.75">
      <c r="A293" s="65"/>
      <c r="B293" s="140">
        <v>92116</v>
      </c>
      <c r="C293" s="129" t="s">
        <v>200</v>
      </c>
      <c r="D293" s="112">
        <v>13960970</v>
      </c>
      <c r="E293" s="113">
        <v>13655970</v>
      </c>
      <c r="F293" s="114">
        <v>305000</v>
      </c>
      <c r="G293" s="112">
        <f>SUM(G294:G294)</f>
        <v>0</v>
      </c>
      <c r="H293" s="113">
        <f>H294</f>
        <v>0</v>
      </c>
      <c r="I293" s="114">
        <f>I294</f>
        <v>0</v>
      </c>
      <c r="J293" s="112">
        <f>SUM(J294:J294)</f>
        <v>13960970</v>
      </c>
      <c r="K293" s="113">
        <f t="shared" si="189"/>
        <v>13655970</v>
      </c>
      <c r="L293" s="114">
        <f t="shared" si="190"/>
        <v>305000</v>
      </c>
      <c r="M293" s="112">
        <f>SUM(M294:M294)</f>
        <v>0</v>
      </c>
      <c r="N293" s="113">
        <f>N294</f>
        <v>0</v>
      </c>
      <c r="O293" s="114">
        <f>O294</f>
        <v>0</v>
      </c>
      <c r="P293" s="112">
        <f>SUM(P294:P294)</f>
        <v>13960970</v>
      </c>
      <c r="Q293" s="113">
        <f t="shared" si="191"/>
        <v>13655970</v>
      </c>
      <c r="R293" s="114">
        <f t="shared" si="192"/>
        <v>305000</v>
      </c>
      <c r="S293" s="112">
        <f>SUM(S294:S294)</f>
        <v>4204000</v>
      </c>
      <c r="T293" s="113">
        <f>T294</f>
        <v>4000</v>
      </c>
      <c r="U293" s="114">
        <f>U294</f>
        <v>4200000</v>
      </c>
      <c r="V293" s="112">
        <f>SUM(V294:V294)</f>
        <v>18164970</v>
      </c>
      <c r="W293" s="113">
        <f t="shared" si="193"/>
        <v>13659970</v>
      </c>
      <c r="X293" s="114">
        <f t="shared" si="194"/>
        <v>4505000</v>
      </c>
      <c r="Y293" s="112">
        <f>SUM(Y294:Y294)</f>
        <v>0</v>
      </c>
      <c r="Z293" s="113">
        <f>Z294</f>
        <v>0</v>
      </c>
      <c r="AA293" s="114">
        <f>AA294</f>
        <v>0</v>
      </c>
      <c r="AB293" s="112">
        <f>SUM(AB294:AB294)</f>
        <v>18164970</v>
      </c>
      <c r="AC293" s="113">
        <f t="shared" si="195"/>
        <v>13659970</v>
      </c>
      <c r="AD293" s="114">
        <f t="shared" si="196"/>
        <v>4505000</v>
      </c>
      <c r="AF293" s="46">
        <f t="shared" si="197"/>
        <v>0</v>
      </c>
      <c r="AG293" s="46"/>
    </row>
    <row r="294" spans="1:33" ht="12.75">
      <c r="A294" s="65"/>
      <c r="B294" s="106"/>
      <c r="C294" s="83" t="s">
        <v>201</v>
      </c>
      <c r="D294" s="80">
        <v>13960970</v>
      </c>
      <c r="E294" s="81">
        <v>13655970</v>
      </c>
      <c r="F294" s="82">
        <v>305000</v>
      </c>
      <c r="G294" s="80">
        <f>H294+I294</f>
        <v>0</v>
      </c>
      <c r="H294" s="81"/>
      <c r="I294" s="82"/>
      <c r="J294" s="80">
        <f>K294+L294</f>
        <v>13960970</v>
      </c>
      <c r="K294" s="81">
        <f t="shared" si="189"/>
        <v>13655970</v>
      </c>
      <c r="L294" s="82">
        <f t="shared" si="190"/>
        <v>305000</v>
      </c>
      <c r="M294" s="80">
        <f>N294+O294</f>
        <v>0</v>
      </c>
      <c r="N294" s="81"/>
      <c r="O294" s="82"/>
      <c r="P294" s="80">
        <f>Q294+R294</f>
        <v>13960970</v>
      </c>
      <c r="Q294" s="81">
        <f t="shared" si="191"/>
        <v>13655970</v>
      </c>
      <c r="R294" s="82">
        <f t="shared" si="192"/>
        <v>305000</v>
      </c>
      <c r="S294" s="80">
        <f>T294+U294</f>
        <v>4204000</v>
      </c>
      <c r="T294" s="81">
        <v>4000</v>
      </c>
      <c r="U294" s="82">
        <f>200000+4000000</f>
        <v>4200000</v>
      </c>
      <c r="V294" s="80">
        <f>W294+X294</f>
        <v>18164970</v>
      </c>
      <c r="W294" s="81">
        <f t="shared" si="193"/>
        <v>13659970</v>
      </c>
      <c r="X294" s="82">
        <f t="shared" si="194"/>
        <v>4505000</v>
      </c>
      <c r="Y294" s="80">
        <f>Z294+AA294</f>
        <v>0</v>
      </c>
      <c r="Z294" s="81"/>
      <c r="AA294" s="82"/>
      <c r="AB294" s="80">
        <f>AC294+AD294</f>
        <v>18164970</v>
      </c>
      <c r="AC294" s="81">
        <f t="shared" si="195"/>
        <v>13659970</v>
      </c>
      <c r="AD294" s="82">
        <f t="shared" si="196"/>
        <v>4505000</v>
      </c>
      <c r="AF294" s="46">
        <f t="shared" si="197"/>
        <v>0</v>
      </c>
      <c r="AG294" s="46"/>
    </row>
    <row r="295" spans="1:33" ht="12.75">
      <c r="A295" s="65"/>
      <c r="B295" s="136">
        <v>92118</v>
      </c>
      <c r="C295" s="137" t="s">
        <v>202</v>
      </c>
      <c r="D295" s="165">
        <v>9802644</v>
      </c>
      <c r="E295" s="138">
        <v>9042644</v>
      </c>
      <c r="F295" s="178">
        <v>760000</v>
      </c>
      <c r="G295" s="165">
        <f>G296+G298+G299+G297</f>
        <v>0</v>
      </c>
      <c r="H295" s="138">
        <f>SUM(H296:H299)</f>
        <v>0</v>
      </c>
      <c r="I295" s="178">
        <f>SUM(I296:I299)</f>
        <v>0</v>
      </c>
      <c r="J295" s="165">
        <f>J296+J298+J299+J297</f>
        <v>9802644</v>
      </c>
      <c r="K295" s="138">
        <f t="shared" si="189"/>
        <v>9042644</v>
      </c>
      <c r="L295" s="178">
        <f t="shared" si="190"/>
        <v>760000</v>
      </c>
      <c r="M295" s="165">
        <f>M296+M298+M299+M297</f>
        <v>0</v>
      </c>
      <c r="N295" s="138">
        <f>SUM(N296:N299)</f>
        <v>0</v>
      </c>
      <c r="O295" s="178">
        <f>SUM(O296:O299)</f>
        <v>0</v>
      </c>
      <c r="P295" s="165">
        <f>P296+P298+P299+P297</f>
        <v>9802644</v>
      </c>
      <c r="Q295" s="138">
        <f t="shared" si="191"/>
        <v>9042644</v>
      </c>
      <c r="R295" s="178">
        <f t="shared" si="192"/>
        <v>760000</v>
      </c>
      <c r="S295" s="165">
        <f>S296+S298+S299+S297</f>
        <v>1190000</v>
      </c>
      <c r="T295" s="138">
        <f>SUM(T296:T299)</f>
        <v>290000</v>
      </c>
      <c r="U295" s="178">
        <f>SUM(U296:U299)</f>
        <v>900000</v>
      </c>
      <c r="V295" s="165">
        <f>V296+V298+V299+V297</f>
        <v>10992644</v>
      </c>
      <c r="W295" s="138">
        <f t="shared" si="193"/>
        <v>9332644</v>
      </c>
      <c r="X295" s="178">
        <f t="shared" si="194"/>
        <v>1660000</v>
      </c>
      <c r="Y295" s="165">
        <f>Y296+Y298+Y299+Y297</f>
        <v>0</v>
      </c>
      <c r="Z295" s="138">
        <f>SUM(Z296:Z299)</f>
        <v>0</v>
      </c>
      <c r="AA295" s="178">
        <f>SUM(AA296:AA299)</f>
        <v>0</v>
      </c>
      <c r="AB295" s="165">
        <f>AB296+AB298+AB299+AB297</f>
        <v>10992644</v>
      </c>
      <c r="AC295" s="138">
        <f t="shared" si="195"/>
        <v>9332644</v>
      </c>
      <c r="AD295" s="178">
        <f t="shared" si="196"/>
        <v>1660000</v>
      </c>
      <c r="AF295" s="46">
        <f t="shared" si="197"/>
        <v>0</v>
      </c>
      <c r="AG295" s="46"/>
    </row>
    <row r="296" spans="1:33" ht="12.75">
      <c r="A296" s="65"/>
      <c r="B296" s="130"/>
      <c r="C296" s="85" t="s">
        <v>203</v>
      </c>
      <c r="D296" s="91">
        <v>5319347</v>
      </c>
      <c r="E296" s="92">
        <v>5219347</v>
      </c>
      <c r="F296" s="87">
        <v>100000</v>
      </c>
      <c r="G296" s="91">
        <f aca="true" t="shared" si="198" ref="G296:G309">H296+I296</f>
        <v>0</v>
      </c>
      <c r="H296" s="92"/>
      <c r="I296" s="87"/>
      <c r="J296" s="91">
        <f aca="true" t="shared" si="199" ref="J296:J309">K296+L296</f>
        <v>5319347</v>
      </c>
      <c r="K296" s="92">
        <f t="shared" si="189"/>
        <v>5219347</v>
      </c>
      <c r="L296" s="87">
        <f t="shared" si="190"/>
        <v>100000</v>
      </c>
      <c r="M296" s="91">
        <f aca="true" t="shared" si="200" ref="M296:M309">N296+O296</f>
        <v>0</v>
      </c>
      <c r="N296" s="92"/>
      <c r="O296" s="87"/>
      <c r="P296" s="91">
        <f aca="true" t="shared" si="201" ref="P296:P309">Q296+R296</f>
        <v>5319347</v>
      </c>
      <c r="Q296" s="92">
        <f t="shared" si="191"/>
        <v>5219347</v>
      </c>
      <c r="R296" s="87">
        <f t="shared" si="192"/>
        <v>100000</v>
      </c>
      <c r="S296" s="91">
        <f aca="true" t="shared" si="202" ref="S296:S309">T296+U296</f>
        <v>940000</v>
      </c>
      <c r="T296" s="92">
        <v>40000</v>
      </c>
      <c r="U296" s="87">
        <v>900000</v>
      </c>
      <c r="V296" s="91">
        <f aca="true" t="shared" si="203" ref="V296:V309">W296+X296</f>
        <v>6259347</v>
      </c>
      <c r="W296" s="92">
        <f t="shared" si="193"/>
        <v>5259347</v>
      </c>
      <c r="X296" s="87">
        <f t="shared" si="194"/>
        <v>1000000</v>
      </c>
      <c r="Y296" s="91">
        <f aca="true" t="shared" si="204" ref="Y296:Y309">Z296+AA296</f>
        <v>0</v>
      </c>
      <c r="Z296" s="92"/>
      <c r="AA296" s="87"/>
      <c r="AB296" s="91">
        <f aca="true" t="shared" si="205" ref="AB296:AB309">AC296+AD296</f>
        <v>6259347</v>
      </c>
      <c r="AC296" s="92">
        <f t="shared" si="195"/>
        <v>5259347</v>
      </c>
      <c r="AD296" s="87">
        <f t="shared" si="196"/>
        <v>1000000</v>
      </c>
      <c r="AF296" s="46">
        <f t="shared" si="197"/>
        <v>0</v>
      </c>
      <c r="AG296" s="46"/>
    </row>
    <row r="297" spans="1:33" ht="12.75">
      <c r="A297" s="65"/>
      <c r="B297" s="108"/>
      <c r="C297" s="90" t="s">
        <v>204</v>
      </c>
      <c r="D297" s="91">
        <v>4483297</v>
      </c>
      <c r="E297" s="92">
        <v>3823297</v>
      </c>
      <c r="F297" s="93">
        <v>660000</v>
      </c>
      <c r="G297" s="91">
        <f t="shared" si="198"/>
        <v>0</v>
      </c>
      <c r="H297" s="92"/>
      <c r="I297" s="93"/>
      <c r="J297" s="91">
        <f t="shared" si="199"/>
        <v>4483297</v>
      </c>
      <c r="K297" s="92">
        <f t="shared" si="189"/>
        <v>3823297</v>
      </c>
      <c r="L297" s="93">
        <f t="shared" si="190"/>
        <v>660000</v>
      </c>
      <c r="M297" s="91">
        <f t="shared" si="200"/>
        <v>0</v>
      </c>
      <c r="N297" s="92"/>
      <c r="O297" s="93"/>
      <c r="P297" s="91">
        <f t="shared" si="201"/>
        <v>4483297</v>
      </c>
      <c r="Q297" s="92">
        <f t="shared" si="191"/>
        <v>3823297</v>
      </c>
      <c r="R297" s="93">
        <f t="shared" si="192"/>
        <v>660000</v>
      </c>
      <c r="S297" s="91">
        <f t="shared" si="202"/>
        <v>250000</v>
      </c>
      <c r="T297" s="92">
        <v>250000</v>
      </c>
      <c r="U297" s="93"/>
      <c r="V297" s="91">
        <f t="shared" si="203"/>
        <v>4733297</v>
      </c>
      <c r="W297" s="92">
        <f t="shared" si="193"/>
        <v>4073297</v>
      </c>
      <c r="X297" s="93">
        <f t="shared" si="194"/>
        <v>660000</v>
      </c>
      <c r="Y297" s="91">
        <f t="shared" si="204"/>
        <v>0</v>
      </c>
      <c r="Z297" s="92"/>
      <c r="AA297" s="93"/>
      <c r="AB297" s="91">
        <f t="shared" si="205"/>
        <v>4733297</v>
      </c>
      <c r="AC297" s="92">
        <f t="shared" si="195"/>
        <v>4073297</v>
      </c>
      <c r="AD297" s="93">
        <f t="shared" si="196"/>
        <v>660000</v>
      </c>
      <c r="AF297" s="46">
        <f t="shared" si="197"/>
        <v>0</v>
      </c>
      <c r="AG297" s="46"/>
    </row>
    <row r="298" spans="1:33" ht="12.75" customHeight="1" hidden="1">
      <c r="A298" s="65"/>
      <c r="B298" s="108"/>
      <c r="C298" s="90" t="s">
        <v>205</v>
      </c>
      <c r="D298" s="91">
        <v>0</v>
      </c>
      <c r="E298" s="92">
        <v>0</v>
      </c>
      <c r="F298" s="93">
        <v>0</v>
      </c>
      <c r="G298" s="91">
        <f t="shared" si="198"/>
        <v>0</v>
      </c>
      <c r="H298" s="92"/>
      <c r="I298" s="93"/>
      <c r="J298" s="91">
        <f t="shared" si="199"/>
        <v>0</v>
      </c>
      <c r="K298" s="92">
        <f t="shared" si="189"/>
        <v>0</v>
      </c>
      <c r="L298" s="93">
        <f t="shared" si="190"/>
        <v>0</v>
      </c>
      <c r="M298" s="91">
        <f t="shared" si="200"/>
        <v>0</v>
      </c>
      <c r="N298" s="92"/>
      <c r="O298" s="93"/>
      <c r="P298" s="91">
        <f t="shared" si="201"/>
        <v>0</v>
      </c>
      <c r="Q298" s="92">
        <f t="shared" si="191"/>
        <v>0</v>
      </c>
      <c r="R298" s="93">
        <f t="shared" si="192"/>
        <v>0</v>
      </c>
      <c r="S298" s="91">
        <f t="shared" si="202"/>
        <v>0</v>
      </c>
      <c r="T298" s="92"/>
      <c r="U298" s="93"/>
      <c r="V298" s="91">
        <f t="shared" si="203"/>
        <v>0</v>
      </c>
      <c r="W298" s="92">
        <f t="shared" si="193"/>
        <v>0</v>
      </c>
      <c r="X298" s="93">
        <f t="shared" si="194"/>
        <v>0</v>
      </c>
      <c r="Y298" s="91">
        <f t="shared" si="204"/>
        <v>0</v>
      </c>
      <c r="Z298" s="92"/>
      <c r="AA298" s="93"/>
      <c r="AB298" s="91">
        <f t="shared" si="205"/>
        <v>0</v>
      </c>
      <c r="AC298" s="92">
        <f t="shared" si="195"/>
        <v>0</v>
      </c>
      <c r="AD298" s="93">
        <f t="shared" si="196"/>
        <v>0</v>
      </c>
      <c r="AF298" s="46">
        <f t="shared" si="197"/>
        <v>0</v>
      </c>
      <c r="AG298" s="46"/>
    </row>
    <row r="299" spans="1:33" s="100" customFormat="1" ht="12.75" customHeight="1" hidden="1">
      <c r="A299" s="94"/>
      <c r="B299" s="126"/>
      <c r="C299" s="132" t="s">
        <v>33</v>
      </c>
      <c r="D299" s="97">
        <v>0</v>
      </c>
      <c r="E299" s="98">
        <v>0</v>
      </c>
      <c r="F299" s="99">
        <v>0</v>
      </c>
      <c r="G299" s="97">
        <f t="shared" si="198"/>
        <v>0</v>
      </c>
      <c r="H299" s="98">
        <v>0</v>
      </c>
      <c r="I299" s="99">
        <v>0</v>
      </c>
      <c r="J299" s="97">
        <f t="shared" si="199"/>
        <v>0</v>
      </c>
      <c r="K299" s="98">
        <f t="shared" si="189"/>
        <v>0</v>
      </c>
      <c r="L299" s="99">
        <f t="shared" si="190"/>
        <v>0</v>
      </c>
      <c r="M299" s="97">
        <f t="shared" si="200"/>
        <v>0</v>
      </c>
      <c r="N299" s="98">
        <v>0</v>
      </c>
      <c r="O299" s="99">
        <v>0</v>
      </c>
      <c r="P299" s="97">
        <f t="shared" si="201"/>
        <v>0</v>
      </c>
      <c r="Q299" s="98">
        <f t="shared" si="191"/>
        <v>0</v>
      </c>
      <c r="R299" s="99">
        <f t="shared" si="192"/>
        <v>0</v>
      </c>
      <c r="S299" s="97">
        <f t="shared" si="202"/>
        <v>0</v>
      </c>
      <c r="T299" s="98">
        <v>0</v>
      </c>
      <c r="U299" s="99">
        <v>0</v>
      </c>
      <c r="V299" s="97">
        <f t="shared" si="203"/>
        <v>0</v>
      </c>
      <c r="W299" s="98">
        <f t="shared" si="193"/>
        <v>0</v>
      </c>
      <c r="X299" s="99">
        <f t="shared" si="194"/>
        <v>0</v>
      </c>
      <c r="Y299" s="97">
        <f t="shared" si="204"/>
        <v>0</v>
      </c>
      <c r="Z299" s="98">
        <v>0</v>
      </c>
      <c r="AA299" s="99">
        <v>0</v>
      </c>
      <c r="AB299" s="97">
        <f t="shared" si="205"/>
        <v>0</v>
      </c>
      <c r="AC299" s="98">
        <f t="shared" si="195"/>
        <v>0</v>
      </c>
      <c r="AD299" s="99">
        <f t="shared" si="196"/>
        <v>0</v>
      </c>
      <c r="AF299" s="46">
        <f t="shared" si="197"/>
        <v>0</v>
      </c>
      <c r="AG299" s="46"/>
    </row>
    <row r="300" spans="1:33" ht="12.75">
      <c r="A300" s="65"/>
      <c r="B300" s="106">
        <v>92120</v>
      </c>
      <c r="C300" s="83" t="s">
        <v>206</v>
      </c>
      <c r="D300" s="80">
        <v>4945790</v>
      </c>
      <c r="E300" s="81">
        <v>4945790</v>
      </c>
      <c r="F300" s="82">
        <v>0</v>
      </c>
      <c r="G300" s="80">
        <f t="shared" si="198"/>
        <v>0</v>
      </c>
      <c r="H300" s="81"/>
      <c r="I300" s="82">
        <v>0</v>
      </c>
      <c r="J300" s="80">
        <f t="shared" si="199"/>
        <v>4945790</v>
      </c>
      <c r="K300" s="81">
        <f t="shared" si="189"/>
        <v>4945790</v>
      </c>
      <c r="L300" s="82">
        <f t="shared" si="190"/>
        <v>0</v>
      </c>
      <c r="M300" s="80">
        <f t="shared" si="200"/>
        <v>0</v>
      </c>
      <c r="N300" s="81"/>
      <c r="O300" s="82">
        <v>0</v>
      </c>
      <c r="P300" s="80">
        <f t="shared" si="201"/>
        <v>4945790</v>
      </c>
      <c r="Q300" s="81">
        <f t="shared" si="191"/>
        <v>4945790</v>
      </c>
      <c r="R300" s="82">
        <f t="shared" si="192"/>
        <v>0</v>
      </c>
      <c r="S300" s="80">
        <f t="shared" si="202"/>
        <v>0</v>
      </c>
      <c r="T300" s="81"/>
      <c r="U300" s="82">
        <v>0</v>
      </c>
      <c r="V300" s="80">
        <f t="shared" si="203"/>
        <v>4945790</v>
      </c>
      <c r="W300" s="81">
        <f t="shared" si="193"/>
        <v>4945790</v>
      </c>
      <c r="X300" s="82">
        <f t="shared" si="194"/>
        <v>0</v>
      </c>
      <c r="Y300" s="80">
        <f t="shared" si="204"/>
        <v>0</v>
      </c>
      <c r="Z300" s="81"/>
      <c r="AA300" s="82">
        <v>0</v>
      </c>
      <c r="AB300" s="80">
        <f t="shared" si="205"/>
        <v>4945790</v>
      </c>
      <c r="AC300" s="81">
        <f t="shared" si="195"/>
        <v>4945790</v>
      </c>
      <c r="AD300" s="82">
        <f t="shared" si="196"/>
        <v>0</v>
      </c>
      <c r="AF300" s="46">
        <f t="shared" si="197"/>
        <v>0</v>
      </c>
      <c r="AG300" s="46"/>
    </row>
    <row r="301" spans="1:33" ht="12.75">
      <c r="A301" s="65"/>
      <c r="B301" s="108">
        <v>92195</v>
      </c>
      <c r="C301" s="208" t="s">
        <v>29</v>
      </c>
      <c r="D301" s="91">
        <v>3296313</v>
      </c>
      <c r="E301" s="92">
        <v>3296313</v>
      </c>
      <c r="F301" s="93">
        <v>0</v>
      </c>
      <c r="G301" s="91">
        <f t="shared" si="198"/>
        <v>1034000</v>
      </c>
      <c r="H301" s="92">
        <f>SUM(H302:H308)-H303</f>
        <v>1034000</v>
      </c>
      <c r="I301" s="93">
        <f>SUM(I302:I308)-I303</f>
        <v>0</v>
      </c>
      <c r="J301" s="91">
        <f t="shared" si="199"/>
        <v>4330313</v>
      </c>
      <c r="K301" s="92">
        <f t="shared" si="189"/>
        <v>4330313</v>
      </c>
      <c r="L301" s="93">
        <f t="shared" si="190"/>
        <v>0</v>
      </c>
      <c r="M301" s="91">
        <f t="shared" si="200"/>
        <v>0</v>
      </c>
      <c r="N301" s="92">
        <f>SUM(N302:N308)-N303</f>
        <v>0</v>
      </c>
      <c r="O301" s="93">
        <f>SUM(O302:O308)-O303</f>
        <v>0</v>
      </c>
      <c r="P301" s="91">
        <f t="shared" si="201"/>
        <v>4330313</v>
      </c>
      <c r="Q301" s="92">
        <f t="shared" si="191"/>
        <v>4330313</v>
      </c>
      <c r="R301" s="93">
        <f t="shared" si="192"/>
        <v>0</v>
      </c>
      <c r="S301" s="91">
        <f t="shared" si="202"/>
        <v>-1017209</v>
      </c>
      <c r="T301" s="92">
        <f>SUM(T302:T308)-T303</f>
        <v>-1017209</v>
      </c>
      <c r="U301" s="93">
        <f>SUM(U302:U308)-U303</f>
        <v>0</v>
      </c>
      <c r="V301" s="91">
        <f t="shared" si="203"/>
        <v>3313104</v>
      </c>
      <c r="W301" s="92">
        <f t="shared" si="193"/>
        <v>3313104</v>
      </c>
      <c r="X301" s="93">
        <f t="shared" si="194"/>
        <v>0</v>
      </c>
      <c r="Y301" s="91">
        <f t="shared" si="204"/>
        <v>0</v>
      </c>
      <c r="Z301" s="92">
        <f>SUM(Z302:Z308)-Z303</f>
        <v>0</v>
      </c>
      <c r="AA301" s="93">
        <f>SUM(AA302:AA308)-AA303</f>
        <v>0</v>
      </c>
      <c r="AB301" s="91">
        <f t="shared" si="205"/>
        <v>3313104</v>
      </c>
      <c r="AC301" s="92">
        <f t="shared" si="195"/>
        <v>3313104</v>
      </c>
      <c r="AD301" s="93">
        <f t="shared" si="196"/>
        <v>0</v>
      </c>
      <c r="AF301" s="46">
        <f t="shared" si="197"/>
        <v>0</v>
      </c>
      <c r="AG301" s="46"/>
    </row>
    <row r="302" spans="1:33" ht="12.75">
      <c r="A302" s="65"/>
      <c r="B302" s="130"/>
      <c r="C302" s="85" t="s">
        <v>207</v>
      </c>
      <c r="D302" s="282">
        <v>1006867</v>
      </c>
      <c r="E302" s="86">
        <v>1006867</v>
      </c>
      <c r="F302" s="87">
        <v>0</v>
      </c>
      <c r="G302" s="282">
        <f t="shared" si="198"/>
        <v>34000</v>
      </c>
      <c r="H302" s="86">
        <v>34000</v>
      </c>
      <c r="I302" s="87">
        <v>0</v>
      </c>
      <c r="J302" s="282">
        <f t="shared" si="199"/>
        <v>1040867</v>
      </c>
      <c r="K302" s="86">
        <f t="shared" si="189"/>
        <v>1040867</v>
      </c>
      <c r="L302" s="87">
        <f t="shared" si="190"/>
        <v>0</v>
      </c>
      <c r="M302" s="282">
        <f t="shared" si="200"/>
        <v>0</v>
      </c>
      <c r="N302" s="86">
        <v>0</v>
      </c>
      <c r="O302" s="87">
        <v>0</v>
      </c>
      <c r="P302" s="282">
        <f t="shared" si="201"/>
        <v>1040867</v>
      </c>
      <c r="Q302" s="86">
        <f t="shared" si="191"/>
        <v>1040867</v>
      </c>
      <c r="R302" s="87">
        <f t="shared" si="192"/>
        <v>0</v>
      </c>
      <c r="S302" s="282">
        <f t="shared" si="202"/>
        <v>0</v>
      </c>
      <c r="T302" s="86">
        <v>0</v>
      </c>
      <c r="U302" s="87">
        <v>0</v>
      </c>
      <c r="V302" s="282">
        <f t="shared" si="203"/>
        <v>1040867</v>
      </c>
      <c r="W302" s="86">
        <f t="shared" si="193"/>
        <v>1040867</v>
      </c>
      <c r="X302" s="87">
        <f t="shared" si="194"/>
        <v>0</v>
      </c>
      <c r="Y302" s="282">
        <f t="shared" si="204"/>
        <v>0</v>
      </c>
      <c r="Z302" s="86"/>
      <c r="AA302" s="87"/>
      <c r="AB302" s="282">
        <f t="shared" si="205"/>
        <v>1040867</v>
      </c>
      <c r="AC302" s="86">
        <f t="shared" si="195"/>
        <v>1040867</v>
      </c>
      <c r="AD302" s="87">
        <f t="shared" si="196"/>
        <v>0</v>
      </c>
      <c r="AF302" s="46">
        <f t="shared" si="197"/>
        <v>0</v>
      </c>
      <c r="AG302" s="46"/>
    </row>
    <row r="303" spans="1:33" s="100" customFormat="1" ht="12.75" hidden="1">
      <c r="A303" s="94"/>
      <c r="B303" s="109"/>
      <c r="C303" s="266" t="s">
        <v>42</v>
      </c>
      <c r="D303" s="181">
        <v>0</v>
      </c>
      <c r="E303" s="267">
        <v>0</v>
      </c>
      <c r="F303" s="307">
        <v>0</v>
      </c>
      <c r="G303" s="181">
        <f t="shared" si="198"/>
        <v>0</v>
      </c>
      <c r="H303" s="267"/>
      <c r="I303" s="307">
        <v>0</v>
      </c>
      <c r="J303" s="181">
        <f t="shared" si="199"/>
        <v>0</v>
      </c>
      <c r="K303" s="267">
        <f t="shared" si="189"/>
        <v>0</v>
      </c>
      <c r="L303" s="307">
        <f t="shared" si="190"/>
        <v>0</v>
      </c>
      <c r="M303" s="181">
        <f t="shared" si="200"/>
        <v>0</v>
      </c>
      <c r="N303" s="267"/>
      <c r="O303" s="307">
        <v>0</v>
      </c>
      <c r="P303" s="181">
        <f t="shared" si="201"/>
        <v>0</v>
      </c>
      <c r="Q303" s="267">
        <f t="shared" si="191"/>
        <v>0</v>
      </c>
      <c r="R303" s="307">
        <f t="shared" si="192"/>
        <v>0</v>
      </c>
      <c r="S303" s="181">
        <f t="shared" si="202"/>
        <v>0</v>
      </c>
      <c r="T303" s="267"/>
      <c r="U303" s="307">
        <v>0</v>
      </c>
      <c r="V303" s="181">
        <f t="shared" si="203"/>
        <v>0</v>
      </c>
      <c r="W303" s="267">
        <f t="shared" si="193"/>
        <v>0</v>
      </c>
      <c r="X303" s="307">
        <f t="shared" si="194"/>
        <v>0</v>
      </c>
      <c r="Y303" s="181">
        <f t="shared" si="204"/>
        <v>0</v>
      </c>
      <c r="Z303" s="267"/>
      <c r="AA303" s="307">
        <v>0</v>
      </c>
      <c r="AB303" s="181">
        <f t="shared" si="205"/>
        <v>0</v>
      </c>
      <c r="AC303" s="267">
        <f t="shared" si="195"/>
        <v>0</v>
      </c>
      <c r="AD303" s="307">
        <f t="shared" si="196"/>
        <v>0</v>
      </c>
      <c r="AF303" s="46">
        <f t="shared" si="197"/>
        <v>0</v>
      </c>
      <c r="AG303" s="46"/>
    </row>
    <row r="304" spans="1:33" ht="22.5">
      <c r="A304" s="65"/>
      <c r="B304" s="184"/>
      <c r="C304" s="213" t="s">
        <v>60</v>
      </c>
      <c r="D304" s="91">
        <v>417000</v>
      </c>
      <c r="E304" s="92">
        <v>417000</v>
      </c>
      <c r="F304" s="93">
        <v>0</v>
      </c>
      <c r="G304" s="91">
        <f t="shared" si="198"/>
        <v>0</v>
      </c>
      <c r="H304" s="92"/>
      <c r="I304" s="93">
        <v>0</v>
      </c>
      <c r="J304" s="91">
        <f t="shared" si="199"/>
        <v>417000</v>
      </c>
      <c r="K304" s="92">
        <f t="shared" si="189"/>
        <v>417000</v>
      </c>
      <c r="L304" s="93">
        <f t="shared" si="190"/>
        <v>0</v>
      </c>
      <c r="M304" s="91">
        <f t="shared" si="200"/>
        <v>0</v>
      </c>
      <c r="N304" s="92"/>
      <c r="O304" s="93">
        <v>0</v>
      </c>
      <c r="P304" s="91">
        <f t="shared" si="201"/>
        <v>417000</v>
      </c>
      <c r="Q304" s="92">
        <f t="shared" si="191"/>
        <v>417000</v>
      </c>
      <c r="R304" s="93">
        <f t="shared" si="192"/>
        <v>0</v>
      </c>
      <c r="S304" s="91">
        <f t="shared" si="202"/>
        <v>10000</v>
      </c>
      <c r="T304" s="92">
        <v>10000</v>
      </c>
      <c r="U304" s="93">
        <v>0</v>
      </c>
      <c r="V304" s="91">
        <f t="shared" si="203"/>
        <v>427000</v>
      </c>
      <c r="W304" s="92">
        <f t="shared" si="193"/>
        <v>427000</v>
      </c>
      <c r="X304" s="93">
        <f t="shared" si="194"/>
        <v>0</v>
      </c>
      <c r="Y304" s="91">
        <f t="shared" si="204"/>
        <v>0</v>
      </c>
      <c r="Z304" s="92"/>
      <c r="AA304" s="93"/>
      <c r="AB304" s="91">
        <f t="shared" si="205"/>
        <v>427000</v>
      </c>
      <c r="AC304" s="92">
        <f t="shared" si="195"/>
        <v>427000</v>
      </c>
      <c r="AD304" s="93">
        <f t="shared" si="196"/>
        <v>0</v>
      </c>
      <c r="AF304" s="46">
        <f t="shared" si="197"/>
        <v>0</v>
      </c>
      <c r="AG304" s="46"/>
    </row>
    <row r="305" spans="1:33" ht="12.75">
      <c r="A305" s="65"/>
      <c r="B305" s="184"/>
      <c r="C305" s="213" t="s">
        <v>45</v>
      </c>
      <c r="D305" s="91">
        <v>50000</v>
      </c>
      <c r="E305" s="92">
        <v>50000</v>
      </c>
      <c r="F305" s="93">
        <v>0</v>
      </c>
      <c r="G305" s="91">
        <f t="shared" si="198"/>
        <v>0</v>
      </c>
      <c r="H305" s="92"/>
      <c r="I305" s="93">
        <v>0</v>
      </c>
      <c r="J305" s="91">
        <f t="shared" si="199"/>
        <v>50000</v>
      </c>
      <c r="K305" s="92">
        <f t="shared" si="189"/>
        <v>50000</v>
      </c>
      <c r="L305" s="93">
        <f t="shared" si="190"/>
        <v>0</v>
      </c>
      <c r="M305" s="91">
        <f t="shared" si="200"/>
        <v>0</v>
      </c>
      <c r="N305" s="92"/>
      <c r="O305" s="93">
        <v>0</v>
      </c>
      <c r="P305" s="91">
        <f t="shared" si="201"/>
        <v>50000</v>
      </c>
      <c r="Q305" s="92">
        <f t="shared" si="191"/>
        <v>50000</v>
      </c>
      <c r="R305" s="93">
        <f t="shared" si="192"/>
        <v>0</v>
      </c>
      <c r="S305" s="91">
        <f t="shared" si="202"/>
        <v>0</v>
      </c>
      <c r="T305" s="92"/>
      <c r="U305" s="93">
        <v>0</v>
      </c>
      <c r="V305" s="91">
        <f t="shared" si="203"/>
        <v>50000</v>
      </c>
      <c r="W305" s="92">
        <f t="shared" si="193"/>
        <v>50000</v>
      </c>
      <c r="X305" s="93">
        <f t="shared" si="194"/>
        <v>0</v>
      </c>
      <c r="Y305" s="91">
        <f t="shared" si="204"/>
        <v>0</v>
      </c>
      <c r="Z305" s="92"/>
      <c r="AA305" s="93"/>
      <c r="AB305" s="91">
        <f t="shared" si="205"/>
        <v>50000</v>
      </c>
      <c r="AC305" s="92">
        <f t="shared" si="195"/>
        <v>50000</v>
      </c>
      <c r="AD305" s="93">
        <f t="shared" si="196"/>
        <v>0</v>
      </c>
      <c r="AF305" s="46">
        <f t="shared" si="197"/>
        <v>0</v>
      </c>
      <c r="AG305" s="46"/>
    </row>
    <row r="306" spans="1:33" ht="12.75">
      <c r="A306" s="65"/>
      <c r="B306" s="184"/>
      <c r="C306" s="185" t="s">
        <v>208</v>
      </c>
      <c r="D306" s="91">
        <v>1010445</v>
      </c>
      <c r="E306" s="118">
        <v>1010445</v>
      </c>
      <c r="F306" s="144">
        <v>0</v>
      </c>
      <c r="G306" s="91">
        <f t="shared" si="198"/>
        <v>0</v>
      </c>
      <c r="H306" s="118"/>
      <c r="I306" s="144">
        <v>0</v>
      </c>
      <c r="J306" s="91">
        <f t="shared" si="199"/>
        <v>1010445</v>
      </c>
      <c r="K306" s="118">
        <f t="shared" si="189"/>
        <v>1010445</v>
      </c>
      <c r="L306" s="144">
        <f t="shared" si="190"/>
        <v>0</v>
      </c>
      <c r="M306" s="91">
        <f t="shared" si="200"/>
        <v>0</v>
      </c>
      <c r="N306" s="118"/>
      <c r="O306" s="144">
        <v>0</v>
      </c>
      <c r="P306" s="91">
        <f t="shared" si="201"/>
        <v>1010445</v>
      </c>
      <c r="Q306" s="118">
        <f t="shared" si="191"/>
        <v>1010445</v>
      </c>
      <c r="R306" s="144">
        <f t="shared" si="192"/>
        <v>0</v>
      </c>
      <c r="S306" s="91">
        <f t="shared" si="202"/>
        <v>0</v>
      </c>
      <c r="T306" s="118"/>
      <c r="U306" s="144">
        <v>0</v>
      </c>
      <c r="V306" s="91">
        <f t="shared" si="203"/>
        <v>1010445</v>
      </c>
      <c r="W306" s="118">
        <f t="shared" si="193"/>
        <v>1010445</v>
      </c>
      <c r="X306" s="144">
        <f t="shared" si="194"/>
        <v>0</v>
      </c>
      <c r="Y306" s="91">
        <f t="shared" si="204"/>
        <v>0</v>
      </c>
      <c r="Z306" s="118"/>
      <c r="AA306" s="144"/>
      <c r="AB306" s="91">
        <f t="shared" si="205"/>
        <v>1010445</v>
      </c>
      <c r="AC306" s="118">
        <f t="shared" si="195"/>
        <v>1010445</v>
      </c>
      <c r="AD306" s="144">
        <f t="shared" si="196"/>
        <v>0</v>
      </c>
      <c r="AF306" s="46">
        <f t="shared" si="197"/>
        <v>0</v>
      </c>
      <c r="AG306" s="46"/>
    </row>
    <row r="307" spans="1:33" ht="12.75">
      <c r="A307" s="65"/>
      <c r="B307" s="184"/>
      <c r="C307" s="308" t="s">
        <v>209</v>
      </c>
      <c r="D307" s="91">
        <v>0</v>
      </c>
      <c r="E307" s="118">
        <v>0</v>
      </c>
      <c r="F307" s="144">
        <v>0</v>
      </c>
      <c r="G307" s="91">
        <f t="shared" si="198"/>
        <v>1000000</v>
      </c>
      <c r="H307" s="118">
        <v>1000000</v>
      </c>
      <c r="I307" s="144">
        <v>0</v>
      </c>
      <c r="J307" s="91">
        <f t="shared" si="199"/>
        <v>1000000</v>
      </c>
      <c r="K307" s="118">
        <f t="shared" si="189"/>
        <v>1000000</v>
      </c>
      <c r="L307" s="144">
        <f t="shared" si="190"/>
        <v>0</v>
      </c>
      <c r="M307" s="91">
        <f t="shared" si="200"/>
        <v>0</v>
      </c>
      <c r="N307" s="118">
        <v>0</v>
      </c>
      <c r="O307" s="144">
        <v>0</v>
      </c>
      <c r="P307" s="91">
        <f t="shared" si="201"/>
        <v>1000000</v>
      </c>
      <c r="Q307" s="118">
        <f t="shared" si="191"/>
        <v>1000000</v>
      </c>
      <c r="R307" s="144">
        <f t="shared" si="192"/>
        <v>0</v>
      </c>
      <c r="S307" s="91">
        <f t="shared" si="202"/>
        <v>-1000000</v>
      </c>
      <c r="T307" s="118">
        <v>-1000000</v>
      </c>
      <c r="U307" s="144">
        <v>0</v>
      </c>
      <c r="V307" s="91">
        <f t="shared" si="203"/>
        <v>0</v>
      </c>
      <c r="W307" s="118">
        <f t="shared" si="193"/>
        <v>0</v>
      </c>
      <c r="X307" s="144">
        <f t="shared" si="194"/>
        <v>0</v>
      </c>
      <c r="Y307" s="91">
        <f t="shared" si="204"/>
        <v>0</v>
      </c>
      <c r="Z307" s="118"/>
      <c r="AA307" s="144"/>
      <c r="AB307" s="91">
        <f t="shared" si="205"/>
        <v>0</v>
      </c>
      <c r="AC307" s="118">
        <f t="shared" si="195"/>
        <v>0</v>
      </c>
      <c r="AD307" s="144">
        <f t="shared" si="196"/>
        <v>0</v>
      </c>
      <c r="AF307" s="46">
        <f t="shared" si="197"/>
        <v>0</v>
      </c>
      <c r="AG307" s="46"/>
    </row>
    <row r="308" spans="1:33" s="100" customFormat="1" ht="13.5" thickBot="1">
      <c r="A308" s="94"/>
      <c r="B308" s="214"/>
      <c r="C308" s="309" t="s">
        <v>33</v>
      </c>
      <c r="D308" s="310">
        <v>812001</v>
      </c>
      <c r="E308" s="311">
        <v>812001</v>
      </c>
      <c r="F308" s="312">
        <v>0</v>
      </c>
      <c r="G308" s="310">
        <f t="shared" si="198"/>
        <v>0</v>
      </c>
      <c r="H308" s="311"/>
      <c r="I308" s="312">
        <v>0</v>
      </c>
      <c r="J308" s="310">
        <f t="shared" si="199"/>
        <v>812001</v>
      </c>
      <c r="K308" s="311">
        <f t="shared" si="189"/>
        <v>812001</v>
      </c>
      <c r="L308" s="312">
        <f t="shared" si="190"/>
        <v>0</v>
      </c>
      <c r="M308" s="310">
        <f t="shared" si="200"/>
        <v>0</v>
      </c>
      <c r="N308" s="311"/>
      <c r="O308" s="312">
        <v>0</v>
      </c>
      <c r="P308" s="310">
        <f t="shared" si="201"/>
        <v>812001</v>
      </c>
      <c r="Q308" s="311">
        <f t="shared" si="191"/>
        <v>812001</v>
      </c>
      <c r="R308" s="312">
        <f t="shared" si="192"/>
        <v>0</v>
      </c>
      <c r="S308" s="310">
        <f t="shared" si="202"/>
        <v>-27209</v>
      </c>
      <c r="T308" s="311">
        <v>-27209</v>
      </c>
      <c r="U308" s="312">
        <v>0</v>
      </c>
      <c r="V308" s="310">
        <f t="shared" si="203"/>
        <v>784792</v>
      </c>
      <c r="W308" s="311">
        <f t="shared" si="193"/>
        <v>784792</v>
      </c>
      <c r="X308" s="312">
        <f t="shared" si="194"/>
        <v>0</v>
      </c>
      <c r="Y308" s="310">
        <f t="shared" si="204"/>
        <v>0</v>
      </c>
      <c r="Z308" s="311"/>
      <c r="AA308" s="312"/>
      <c r="AB308" s="310">
        <f t="shared" si="205"/>
        <v>784792</v>
      </c>
      <c r="AC308" s="311">
        <f t="shared" si="195"/>
        <v>784792</v>
      </c>
      <c r="AD308" s="312">
        <f t="shared" si="196"/>
        <v>0</v>
      </c>
      <c r="AF308" s="46">
        <f t="shared" si="197"/>
        <v>0</v>
      </c>
      <c r="AG308" s="46"/>
    </row>
    <row r="309" spans="1:33" ht="25.5" customHeight="1">
      <c r="A309" s="65"/>
      <c r="B309" s="133">
        <v>925</v>
      </c>
      <c r="C309" s="202" t="s">
        <v>210</v>
      </c>
      <c r="D309" s="313">
        <v>38155935</v>
      </c>
      <c r="E309" s="314">
        <v>10913405</v>
      </c>
      <c r="F309" s="315">
        <v>27242530</v>
      </c>
      <c r="G309" s="313">
        <f t="shared" si="198"/>
        <v>0</v>
      </c>
      <c r="H309" s="314">
        <f>H310</f>
        <v>0</v>
      </c>
      <c r="I309" s="315">
        <f>I310</f>
        <v>0</v>
      </c>
      <c r="J309" s="313">
        <f t="shared" si="199"/>
        <v>38155935</v>
      </c>
      <c r="K309" s="314">
        <f>K310</f>
        <v>10913405</v>
      </c>
      <c r="L309" s="315">
        <f>L310</f>
        <v>27242530</v>
      </c>
      <c r="M309" s="313">
        <f t="shared" si="200"/>
        <v>0</v>
      </c>
      <c r="N309" s="314">
        <f>N310</f>
        <v>0</v>
      </c>
      <c r="O309" s="315">
        <f>O310</f>
        <v>0</v>
      </c>
      <c r="P309" s="313">
        <f t="shared" si="201"/>
        <v>38155935</v>
      </c>
      <c r="Q309" s="314">
        <f>Q310</f>
        <v>10913405</v>
      </c>
      <c r="R309" s="315">
        <f>R310</f>
        <v>27242530</v>
      </c>
      <c r="S309" s="313">
        <f t="shared" si="202"/>
        <v>160000</v>
      </c>
      <c r="T309" s="314">
        <f>T310</f>
        <v>160000</v>
      </c>
      <c r="U309" s="315">
        <f>U310</f>
        <v>0</v>
      </c>
      <c r="V309" s="313">
        <f t="shared" si="203"/>
        <v>38315935</v>
      </c>
      <c r="W309" s="314">
        <f>W310</f>
        <v>11073405</v>
      </c>
      <c r="X309" s="315">
        <f>X310</f>
        <v>27242530</v>
      </c>
      <c r="Y309" s="313">
        <f t="shared" si="204"/>
        <v>127000</v>
      </c>
      <c r="Z309" s="314">
        <f>Z310</f>
        <v>127000</v>
      </c>
      <c r="AA309" s="315">
        <f>AA310</f>
        <v>0</v>
      </c>
      <c r="AB309" s="313">
        <f t="shared" si="205"/>
        <v>38442935</v>
      </c>
      <c r="AC309" s="314">
        <f>AC310</f>
        <v>11200405</v>
      </c>
      <c r="AD309" s="315">
        <f>AD310</f>
        <v>27242530</v>
      </c>
      <c r="AF309" s="46">
        <f t="shared" si="197"/>
        <v>0</v>
      </c>
      <c r="AG309" s="46"/>
    </row>
    <row r="310" spans="1:33" ht="12.75">
      <c r="A310" s="65"/>
      <c r="B310" s="140">
        <v>92504</v>
      </c>
      <c r="C310" s="129" t="s">
        <v>211</v>
      </c>
      <c r="D310" s="112">
        <v>38155935</v>
      </c>
      <c r="E310" s="81">
        <v>10913405</v>
      </c>
      <c r="F310" s="82">
        <v>27242530</v>
      </c>
      <c r="G310" s="112">
        <f>G311+G313+G314</f>
        <v>0</v>
      </c>
      <c r="H310" s="81">
        <f>H311+H313+H314</f>
        <v>0</v>
      </c>
      <c r="I310" s="82">
        <f>I311+I313+I314</f>
        <v>0</v>
      </c>
      <c r="J310" s="112">
        <f>J311+J313+J314</f>
        <v>38155935</v>
      </c>
      <c r="K310" s="81">
        <f>E310+H310</f>
        <v>10913405</v>
      </c>
      <c r="L310" s="82">
        <f>I310+F310</f>
        <v>27242530</v>
      </c>
      <c r="M310" s="112">
        <f>M311+M313+M314</f>
        <v>0</v>
      </c>
      <c r="N310" s="81">
        <f>N311+N313+N314</f>
        <v>0</v>
      </c>
      <c r="O310" s="82">
        <f>O311+O313+O314</f>
        <v>0</v>
      </c>
      <c r="P310" s="112">
        <f>P311+P313+P314</f>
        <v>38155935</v>
      </c>
      <c r="Q310" s="81">
        <f>K310+N310</f>
        <v>10913405</v>
      </c>
      <c r="R310" s="82">
        <f>O310+L310</f>
        <v>27242530</v>
      </c>
      <c r="S310" s="112">
        <f>S311+S313+S314</f>
        <v>160000</v>
      </c>
      <c r="T310" s="81">
        <f>T311+T313+T314</f>
        <v>160000</v>
      </c>
      <c r="U310" s="82">
        <f>U311+U313+U314</f>
        <v>0</v>
      </c>
      <c r="V310" s="112">
        <f>V311+V313+V314</f>
        <v>38315935</v>
      </c>
      <c r="W310" s="81">
        <f>Q310+T310</f>
        <v>11073405</v>
      </c>
      <c r="X310" s="82">
        <f>U310+R310</f>
        <v>27242530</v>
      </c>
      <c r="Y310" s="112">
        <f>Y311+Y313+Y314</f>
        <v>127000</v>
      </c>
      <c r="Z310" s="81">
        <f>Z311+Z313+Z314</f>
        <v>127000</v>
      </c>
      <c r="AA310" s="82">
        <f>AA311+AA313+AA314</f>
        <v>0</v>
      </c>
      <c r="AB310" s="112">
        <f>AB311+AB313+AB314</f>
        <v>38442935</v>
      </c>
      <c r="AC310" s="81">
        <f>W310+Z310</f>
        <v>11200405</v>
      </c>
      <c r="AD310" s="82">
        <f>AA310+X310</f>
        <v>27242530</v>
      </c>
      <c r="AF310" s="46">
        <f t="shared" si="197"/>
        <v>0</v>
      </c>
      <c r="AG310" s="46"/>
    </row>
    <row r="311" spans="1:33" ht="12.75">
      <c r="A311" s="65"/>
      <c r="B311" s="130"/>
      <c r="C311" s="208" t="s">
        <v>212</v>
      </c>
      <c r="D311" s="91">
        <v>34425530</v>
      </c>
      <c r="E311" s="92">
        <v>7642000</v>
      </c>
      <c r="F311" s="186">
        <v>26783530</v>
      </c>
      <c r="G311" s="91">
        <f aca="true" t="shared" si="206" ref="G311:G328">H311+I311</f>
        <v>0</v>
      </c>
      <c r="H311" s="92"/>
      <c r="I311" s="186"/>
      <c r="J311" s="91">
        <f aca="true" t="shared" si="207" ref="J311:J328">K311+L311</f>
        <v>34425530</v>
      </c>
      <c r="K311" s="92">
        <f>E311+H311</f>
        <v>7642000</v>
      </c>
      <c r="L311" s="186">
        <f>I311+F311</f>
        <v>26783530</v>
      </c>
      <c r="M311" s="91">
        <f aca="true" t="shared" si="208" ref="M311:M328">N311+O311</f>
        <v>0</v>
      </c>
      <c r="N311" s="92"/>
      <c r="O311" s="186"/>
      <c r="P311" s="91">
        <f aca="true" t="shared" si="209" ref="P311:P328">Q311+R311</f>
        <v>34425530</v>
      </c>
      <c r="Q311" s="92">
        <f>K311+N311</f>
        <v>7642000</v>
      </c>
      <c r="R311" s="186">
        <f>O311+L311</f>
        <v>26783530</v>
      </c>
      <c r="S311" s="91">
        <f aca="true" t="shared" si="210" ref="S311:S328">T311+U311</f>
        <v>160000</v>
      </c>
      <c r="T311" s="92">
        <v>160000</v>
      </c>
      <c r="U311" s="186"/>
      <c r="V311" s="91">
        <f aca="true" t="shared" si="211" ref="V311:V328">W311+X311</f>
        <v>34585530</v>
      </c>
      <c r="W311" s="92">
        <f>Q311+T311</f>
        <v>7802000</v>
      </c>
      <c r="X311" s="186">
        <f>U311+R311</f>
        <v>26783530</v>
      </c>
      <c r="Y311" s="91">
        <f aca="true" t="shared" si="212" ref="Y311:Y328">Z311+AA311</f>
        <v>99000</v>
      </c>
      <c r="Z311" s="92">
        <v>99000</v>
      </c>
      <c r="AA311" s="186"/>
      <c r="AB311" s="91">
        <f aca="true" t="shared" si="213" ref="AB311:AB328">AC311+AD311</f>
        <v>34684530</v>
      </c>
      <c r="AC311" s="92">
        <f>W311+Z311</f>
        <v>7901000</v>
      </c>
      <c r="AD311" s="186">
        <f>AA311+X311</f>
        <v>26783530</v>
      </c>
      <c r="AF311" s="46">
        <f t="shared" si="197"/>
        <v>0</v>
      </c>
      <c r="AG311" s="46"/>
    </row>
    <row r="312" spans="1:33" s="100" customFormat="1" ht="12.75">
      <c r="A312" s="94"/>
      <c r="B312" s="109"/>
      <c r="C312" s="110" t="s">
        <v>42</v>
      </c>
      <c r="D312" s="123">
        <v>26200530</v>
      </c>
      <c r="E312" s="264">
        <v>0</v>
      </c>
      <c r="F312" s="237">
        <v>26200530</v>
      </c>
      <c r="G312" s="123">
        <f t="shared" si="206"/>
        <v>0</v>
      </c>
      <c r="H312" s="264"/>
      <c r="I312" s="237"/>
      <c r="J312" s="123">
        <f t="shared" si="207"/>
        <v>26200530</v>
      </c>
      <c r="K312" s="264">
        <f>E312+H312</f>
        <v>0</v>
      </c>
      <c r="L312" s="237">
        <f>I312+F312</f>
        <v>26200530</v>
      </c>
      <c r="M312" s="123">
        <f t="shared" si="208"/>
        <v>0</v>
      </c>
      <c r="N312" s="264"/>
      <c r="O312" s="237"/>
      <c r="P312" s="123">
        <f t="shared" si="209"/>
        <v>26200530</v>
      </c>
      <c r="Q312" s="264">
        <f>K312+N312</f>
        <v>0</v>
      </c>
      <c r="R312" s="237">
        <f>O312+L312</f>
        <v>26200530</v>
      </c>
      <c r="S312" s="123">
        <f t="shared" si="210"/>
        <v>0</v>
      </c>
      <c r="T312" s="264"/>
      <c r="U312" s="237"/>
      <c r="V312" s="123">
        <f t="shared" si="211"/>
        <v>26200530</v>
      </c>
      <c r="W312" s="264">
        <f>Q312+T312</f>
        <v>0</v>
      </c>
      <c r="X312" s="237">
        <f>U312+R312</f>
        <v>26200530</v>
      </c>
      <c r="Y312" s="123">
        <f t="shared" si="212"/>
        <v>0</v>
      </c>
      <c r="Z312" s="264"/>
      <c r="AA312" s="237"/>
      <c r="AB312" s="123">
        <f t="shared" si="213"/>
        <v>26200530</v>
      </c>
      <c r="AC312" s="264">
        <f>W312+Z312</f>
        <v>0</v>
      </c>
      <c r="AD312" s="237">
        <f>AA312+X312</f>
        <v>26200530</v>
      </c>
      <c r="AF312" s="46">
        <f t="shared" si="197"/>
        <v>0</v>
      </c>
      <c r="AG312" s="46"/>
    </row>
    <row r="313" spans="1:33" ht="12.75">
      <c r="A313" s="65"/>
      <c r="B313" s="108"/>
      <c r="C313" s="208" t="s">
        <v>213</v>
      </c>
      <c r="D313" s="91">
        <v>3520405</v>
      </c>
      <c r="E313" s="92">
        <v>3061405</v>
      </c>
      <c r="F313" s="186">
        <v>459000</v>
      </c>
      <c r="G313" s="91">
        <f t="shared" si="206"/>
        <v>0</v>
      </c>
      <c r="H313" s="92"/>
      <c r="I313" s="186"/>
      <c r="J313" s="91">
        <f t="shared" si="207"/>
        <v>3520405</v>
      </c>
      <c r="K313" s="92">
        <f>E313+H313</f>
        <v>3061405</v>
      </c>
      <c r="L313" s="186">
        <f>I313+F313</f>
        <v>459000</v>
      </c>
      <c r="M313" s="91">
        <f t="shared" si="208"/>
        <v>0</v>
      </c>
      <c r="N313" s="92"/>
      <c r="O313" s="186"/>
      <c r="P313" s="91">
        <f t="shared" si="209"/>
        <v>3520405</v>
      </c>
      <c r="Q313" s="92">
        <f>K313+N313</f>
        <v>3061405</v>
      </c>
      <c r="R313" s="186">
        <f>O313+L313</f>
        <v>459000</v>
      </c>
      <c r="S313" s="91">
        <f t="shared" si="210"/>
        <v>0</v>
      </c>
      <c r="T313" s="92"/>
      <c r="U313" s="186"/>
      <c r="V313" s="91">
        <f t="shared" si="211"/>
        <v>3520405</v>
      </c>
      <c r="W313" s="92">
        <f>Q313+T313</f>
        <v>3061405</v>
      </c>
      <c r="X313" s="186">
        <f>U313+R313</f>
        <v>459000</v>
      </c>
      <c r="Y313" s="91">
        <f t="shared" si="212"/>
        <v>28000</v>
      </c>
      <c r="Z313" s="92">
        <v>28000</v>
      </c>
      <c r="AA313" s="186"/>
      <c r="AB313" s="91">
        <f t="shared" si="213"/>
        <v>3548405</v>
      </c>
      <c r="AC313" s="92">
        <f>W313+Z313</f>
        <v>3089405</v>
      </c>
      <c r="AD313" s="186">
        <f>AA313+X313</f>
        <v>459000</v>
      </c>
      <c r="AF313" s="46">
        <f t="shared" si="197"/>
        <v>0</v>
      </c>
      <c r="AG313" s="46"/>
    </row>
    <row r="314" spans="1:33" ht="12.75">
      <c r="A314" s="65"/>
      <c r="B314" s="163"/>
      <c r="C314" s="129" t="s">
        <v>214</v>
      </c>
      <c r="D314" s="112">
        <v>210000</v>
      </c>
      <c r="E314" s="113">
        <v>210000</v>
      </c>
      <c r="F314" s="128">
        <v>0</v>
      </c>
      <c r="G314" s="112">
        <f t="shared" si="206"/>
        <v>0</v>
      </c>
      <c r="H314" s="113"/>
      <c r="I314" s="128"/>
      <c r="J314" s="112">
        <f t="shared" si="207"/>
        <v>210000</v>
      </c>
      <c r="K314" s="113">
        <f>E314+H314</f>
        <v>210000</v>
      </c>
      <c r="L314" s="128">
        <f>I314+F314</f>
        <v>0</v>
      </c>
      <c r="M314" s="112">
        <f t="shared" si="208"/>
        <v>0</v>
      </c>
      <c r="N314" s="113"/>
      <c r="O314" s="128"/>
      <c r="P314" s="112">
        <f t="shared" si="209"/>
        <v>210000</v>
      </c>
      <c r="Q314" s="113">
        <f>K314+N314</f>
        <v>210000</v>
      </c>
      <c r="R314" s="128">
        <f>O314+L314</f>
        <v>0</v>
      </c>
      <c r="S314" s="112">
        <f t="shared" si="210"/>
        <v>0</v>
      </c>
      <c r="T314" s="113"/>
      <c r="U314" s="128"/>
      <c r="V314" s="112">
        <f t="shared" si="211"/>
        <v>210000</v>
      </c>
      <c r="W314" s="113">
        <f>Q314+T314</f>
        <v>210000</v>
      </c>
      <c r="X314" s="128">
        <f>U314+R314</f>
        <v>0</v>
      </c>
      <c r="Y314" s="112">
        <f t="shared" si="212"/>
        <v>0</v>
      </c>
      <c r="Z314" s="113"/>
      <c r="AA314" s="128"/>
      <c r="AB314" s="112">
        <f t="shared" si="213"/>
        <v>210000</v>
      </c>
      <c r="AC314" s="113">
        <f>W314+Z314</f>
        <v>210000</v>
      </c>
      <c r="AD314" s="128">
        <f>AA314+X314</f>
        <v>0</v>
      </c>
      <c r="AF314" s="46">
        <f t="shared" si="197"/>
        <v>0</v>
      </c>
      <c r="AG314" s="46"/>
    </row>
    <row r="315" spans="1:33" ht="12.75">
      <c r="A315" s="65"/>
      <c r="B315" s="133">
        <v>926</v>
      </c>
      <c r="C315" s="134" t="s">
        <v>215</v>
      </c>
      <c r="D315" s="75">
        <v>154017681</v>
      </c>
      <c r="E315" s="76">
        <v>19431684</v>
      </c>
      <c r="F315" s="158">
        <v>134585997</v>
      </c>
      <c r="G315" s="75">
        <f t="shared" si="206"/>
        <v>916773</v>
      </c>
      <c r="H315" s="76">
        <f>H316+H321+H323+H319</f>
        <v>877332</v>
      </c>
      <c r="I315" s="158">
        <f>I316+I321+I323+I319</f>
        <v>39441</v>
      </c>
      <c r="J315" s="75">
        <f t="shared" si="207"/>
        <v>154934454</v>
      </c>
      <c r="K315" s="76">
        <f>K316+K321+K323+K319</f>
        <v>20309016</v>
      </c>
      <c r="L315" s="158">
        <f>L316+L321+L323+L319</f>
        <v>134625438</v>
      </c>
      <c r="M315" s="75">
        <f t="shared" si="208"/>
        <v>0</v>
      </c>
      <c r="N315" s="76">
        <f>N316+N321+N323+N319</f>
        <v>0</v>
      </c>
      <c r="O315" s="158">
        <f>O316+O321+O323+O319</f>
        <v>0</v>
      </c>
      <c r="P315" s="75">
        <f t="shared" si="209"/>
        <v>154934454</v>
      </c>
      <c r="Q315" s="76">
        <f>Q316+Q321+Q323+Q319</f>
        <v>20309016</v>
      </c>
      <c r="R315" s="158">
        <f>R316+R321+R323+R319</f>
        <v>134625438</v>
      </c>
      <c r="S315" s="75">
        <f t="shared" si="210"/>
        <v>4319980</v>
      </c>
      <c r="T315" s="76">
        <f>T316+T321+T323+T319</f>
        <v>-32630</v>
      </c>
      <c r="U315" s="158">
        <f>U316+U321+U323+U319</f>
        <v>4352610</v>
      </c>
      <c r="V315" s="75">
        <f t="shared" si="211"/>
        <v>159254434</v>
      </c>
      <c r="W315" s="76">
        <f>W316+W321+W323+W319</f>
        <v>20276386</v>
      </c>
      <c r="X315" s="158">
        <f>X316+X321+X323+X319</f>
        <v>138978048</v>
      </c>
      <c r="Y315" s="75">
        <f t="shared" si="212"/>
        <v>0</v>
      </c>
      <c r="Z315" s="76">
        <f>Z316+Z321+Z323+Z319</f>
        <v>0</v>
      </c>
      <c r="AA315" s="158">
        <f>AA316+AA321+AA323+AA319</f>
        <v>0</v>
      </c>
      <c r="AB315" s="75">
        <f t="shared" si="213"/>
        <v>159254434</v>
      </c>
      <c r="AC315" s="76">
        <f>AC316+AC321+AC323+AC319</f>
        <v>20276386</v>
      </c>
      <c r="AD315" s="158">
        <f>AD316+AD321+AD323+AD319</f>
        <v>138978048</v>
      </c>
      <c r="AF315" s="46">
        <f t="shared" si="197"/>
        <v>0</v>
      </c>
      <c r="AG315" s="46"/>
    </row>
    <row r="316" spans="1:33" ht="12.75">
      <c r="A316" s="65"/>
      <c r="B316" s="106">
        <v>92601</v>
      </c>
      <c r="C316" s="83" t="s">
        <v>216</v>
      </c>
      <c r="D316" s="80">
        <v>628644</v>
      </c>
      <c r="E316" s="81">
        <v>157191</v>
      </c>
      <c r="F316" s="82">
        <v>471453</v>
      </c>
      <c r="G316" s="80">
        <f t="shared" si="206"/>
        <v>0</v>
      </c>
      <c r="H316" s="81">
        <f>H317+H318</f>
        <v>0</v>
      </c>
      <c r="I316" s="82">
        <f>I317+I318</f>
        <v>0</v>
      </c>
      <c r="J316" s="80">
        <f t="shared" si="207"/>
        <v>628644</v>
      </c>
      <c r="K316" s="81">
        <f aca="true" t="shared" si="214" ref="K316:K328">E316+H316</f>
        <v>157191</v>
      </c>
      <c r="L316" s="82">
        <f aca="true" t="shared" si="215" ref="L316:L328">I316+F316</f>
        <v>471453</v>
      </c>
      <c r="M316" s="80">
        <f t="shared" si="208"/>
        <v>0</v>
      </c>
      <c r="N316" s="81">
        <f>N317+N318</f>
        <v>0</v>
      </c>
      <c r="O316" s="82">
        <f>O317+O318</f>
        <v>0</v>
      </c>
      <c r="P316" s="80">
        <f t="shared" si="209"/>
        <v>628644</v>
      </c>
      <c r="Q316" s="81">
        <f aca="true" t="shared" si="216" ref="Q316:Q328">K316+N316</f>
        <v>157191</v>
      </c>
      <c r="R316" s="82">
        <f aca="true" t="shared" si="217" ref="R316:R328">O316+L316</f>
        <v>471453</v>
      </c>
      <c r="S316" s="80">
        <f t="shared" si="210"/>
        <v>-25290</v>
      </c>
      <c r="T316" s="81">
        <f>T317+T318</f>
        <v>-13790</v>
      </c>
      <c r="U316" s="82">
        <f>U317+U318</f>
        <v>-11500</v>
      </c>
      <c r="V316" s="80">
        <f t="shared" si="211"/>
        <v>603354</v>
      </c>
      <c r="W316" s="81">
        <f aca="true" t="shared" si="218" ref="W316:W328">Q316+T316</f>
        <v>143401</v>
      </c>
      <c r="X316" s="82">
        <f aca="true" t="shared" si="219" ref="X316:X328">U316+R316</f>
        <v>459953</v>
      </c>
      <c r="Y316" s="80">
        <f t="shared" si="212"/>
        <v>0</v>
      </c>
      <c r="Z316" s="81">
        <f>Z317+Z318</f>
        <v>0</v>
      </c>
      <c r="AA316" s="82">
        <f>AA317+AA318</f>
        <v>0</v>
      </c>
      <c r="AB316" s="80">
        <f t="shared" si="213"/>
        <v>603354</v>
      </c>
      <c r="AC316" s="81">
        <f aca="true" t="shared" si="220" ref="AC316:AC328">W316+Z316</f>
        <v>143401</v>
      </c>
      <c r="AD316" s="82">
        <f aca="true" t="shared" si="221" ref="AD316:AD328">AA316+X316</f>
        <v>459953</v>
      </c>
      <c r="AF316" s="46">
        <f t="shared" si="197"/>
        <v>0</v>
      </c>
      <c r="AG316" s="46"/>
    </row>
    <row r="317" spans="1:33" ht="12.75" customHeight="1" hidden="1">
      <c r="A317" s="65"/>
      <c r="B317" s="130"/>
      <c r="C317" s="301" t="s">
        <v>43</v>
      </c>
      <c r="D317" s="88">
        <v>0</v>
      </c>
      <c r="E317" s="86">
        <v>0</v>
      </c>
      <c r="F317" s="87">
        <v>0</v>
      </c>
      <c r="G317" s="88">
        <f t="shared" si="206"/>
        <v>0</v>
      </c>
      <c r="H317" s="86">
        <v>0</v>
      </c>
      <c r="I317" s="87">
        <v>0</v>
      </c>
      <c r="J317" s="88">
        <f t="shared" si="207"/>
        <v>0</v>
      </c>
      <c r="K317" s="86">
        <f t="shared" si="214"/>
        <v>0</v>
      </c>
      <c r="L317" s="87">
        <f t="shared" si="215"/>
        <v>0</v>
      </c>
      <c r="M317" s="88">
        <f t="shared" si="208"/>
        <v>0</v>
      </c>
      <c r="N317" s="86">
        <v>0</v>
      </c>
      <c r="O317" s="87">
        <v>0</v>
      </c>
      <c r="P317" s="88">
        <f t="shared" si="209"/>
        <v>0</v>
      </c>
      <c r="Q317" s="86">
        <f t="shared" si="216"/>
        <v>0</v>
      </c>
      <c r="R317" s="87">
        <f t="shared" si="217"/>
        <v>0</v>
      </c>
      <c r="S317" s="88">
        <f t="shared" si="210"/>
        <v>0</v>
      </c>
      <c r="T317" s="86">
        <v>0</v>
      </c>
      <c r="U317" s="87">
        <v>0</v>
      </c>
      <c r="V317" s="88">
        <f t="shared" si="211"/>
        <v>0</v>
      </c>
      <c r="W317" s="86">
        <f t="shared" si="218"/>
        <v>0</v>
      </c>
      <c r="X317" s="87">
        <f t="shared" si="219"/>
        <v>0</v>
      </c>
      <c r="Y317" s="88">
        <f t="shared" si="212"/>
        <v>0</v>
      </c>
      <c r="Z317" s="86">
        <v>0</v>
      </c>
      <c r="AA317" s="87">
        <v>0</v>
      </c>
      <c r="AB317" s="88">
        <f t="shared" si="213"/>
        <v>0</v>
      </c>
      <c r="AC317" s="86">
        <f t="shared" si="220"/>
        <v>0</v>
      </c>
      <c r="AD317" s="87">
        <f t="shared" si="221"/>
        <v>0</v>
      </c>
      <c r="AF317" s="46">
        <f t="shared" si="197"/>
        <v>0</v>
      </c>
      <c r="AG317" s="46"/>
    </row>
    <row r="318" spans="1:33" s="100" customFormat="1" ht="12.75">
      <c r="A318" s="94"/>
      <c r="B318" s="126"/>
      <c r="C318" s="316" t="s">
        <v>33</v>
      </c>
      <c r="D318" s="97">
        <v>628644</v>
      </c>
      <c r="E318" s="98">
        <v>157191</v>
      </c>
      <c r="F318" s="99">
        <v>471453</v>
      </c>
      <c r="G318" s="97">
        <f t="shared" si="206"/>
        <v>0</v>
      </c>
      <c r="H318" s="98"/>
      <c r="I318" s="99"/>
      <c r="J318" s="97">
        <f t="shared" si="207"/>
        <v>628644</v>
      </c>
      <c r="K318" s="98">
        <f t="shared" si="214"/>
        <v>157191</v>
      </c>
      <c r="L318" s="99">
        <f t="shared" si="215"/>
        <v>471453</v>
      </c>
      <c r="M318" s="97">
        <f t="shared" si="208"/>
        <v>0</v>
      </c>
      <c r="N318" s="98"/>
      <c r="O318" s="99"/>
      <c r="P318" s="97">
        <f t="shared" si="209"/>
        <v>628644</v>
      </c>
      <c r="Q318" s="98">
        <f t="shared" si="216"/>
        <v>157191</v>
      </c>
      <c r="R318" s="99">
        <f t="shared" si="217"/>
        <v>471453</v>
      </c>
      <c r="S318" s="97">
        <f t="shared" si="210"/>
        <v>-25290</v>
      </c>
      <c r="T318" s="98">
        <f>1210-15000</f>
        <v>-13790</v>
      </c>
      <c r="U318" s="99">
        <v>-11500</v>
      </c>
      <c r="V318" s="97">
        <f t="shared" si="211"/>
        <v>603354</v>
      </c>
      <c r="W318" s="98">
        <f t="shared" si="218"/>
        <v>143401</v>
      </c>
      <c r="X318" s="99">
        <f t="shared" si="219"/>
        <v>459953</v>
      </c>
      <c r="Y318" s="97">
        <f t="shared" si="212"/>
        <v>0</v>
      </c>
      <c r="Z318" s="98"/>
      <c r="AA318" s="99"/>
      <c r="AB318" s="97">
        <f t="shared" si="213"/>
        <v>603354</v>
      </c>
      <c r="AC318" s="98">
        <f t="shared" si="220"/>
        <v>143401</v>
      </c>
      <c r="AD318" s="99">
        <f t="shared" si="221"/>
        <v>459953</v>
      </c>
      <c r="AF318" s="46">
        <f t="shared" si="197"/>
        <v>0</v>
      </c>
      <c r="AG318" s="46"/>
    </row>
    <row r="319" spans="1:33" ht="12.75">
      <c r="A319" s="65"/>
      <c r="B319" s="254">
        <v>92604</v>
      </c>
      <c r="C319" s="85" t="s">
        <v>217</v>
      </c>
      <c r="D319" s="88">
        <v>142296800</v>
      </c>
      <c r="E319" s="138">
        <v>8750000</v>
      </c>
      <c r="F319" s="178">
        <v>133546800</v>
      </c>
      <c r="G319" s="88">
        <f t="shared" si="206"/>
        <v>0</v>
      </c>
      <c r="H319" s="138">
        <f>H320</f>
        <v>0</v>
      </c>
      <c r="I319" s="178">
        <f>I320</f>
        <v>0</v>
      </c>
      <c r="J319" s="88">
        <f t="shared" si="207"/>
        <v>142296800</v>
      </c>
      <c r="K319" s="138">
        <f t="shared" si="214"/>
        <v>8750000</v>
      </c>
      <c r="L319" s="178">
        <f t="shared" si="215"/>
        <v>133546800</v>
      </c>
      <c r="M319" s="88">
        <f t="shared" si="208"/>
        <v>0</v>
      </c>
      <c r="N319" s="138">
        <f>N320</f>
        <v>0</v>
      </c>
      <c r="O319" s="178">
        <f>O320</f>
        <v>0</v>
      </c>
      <c r="P319" s="88">
        <f t="shared" si="209"/>
        <v>142296800</v>
      </c>
      <c r="Q319" s="138">
        <f t="shared" si="216"/>
        <v>8750000</v>
      </c>
      <c r="R319" s="178">
        <f t="shared" si="217"/>
        <v>133546800</v>
      </c>
      <c r="S319" s="88">
        <f t="shared" si="210"/>
        <v>4363000</v>
      </c>
      <c r="T319" s="138">
        <f>T320</f>
        <v>0</v>
      </c>
      <c r="U319" s="178">
        <f>U320</f>
        <v>4363000</v>
      </c>
      <c r="V319" s="88">
        <f t="shared" si="211"/>
        <v>146659800</v>
      </c>
      <c r="W319" s="138">
        <f t="shared" si="218"/>
        <v>8750000</v>
      </c>
      <c r="X319" s="178">
        <f t="shared" si="219"/>
        <v>137909800</v>
      </c>
      <c r="Y319" s="88">
        <f t="shared" si="212"/>
        <v>0</v>
      </c>
      <c r="Z319" s="138">
        <f>Z320</f>
        <v>0</v>
      </c>
      <c r="AA319" s="178">
        <f>AA320</f>
        <v>0</v>
      </c>
      <c r="AB319" s="88">
        <f t="shared" si="213"/>
        <v>146659800</v>
      </c>
      <c r="AC319" s="138">
        <f t="shared" si="220"/>
        <v>8750000</v>
      </c>
      <c r="AD319" s="178">
        <f t="shared" si="221"/>
        <v>137909800</v>
      </c>
      <c r="AF319" s="46">
        <f t="shared" si="197"/>
        <v>0</v>
      </c>
      <c r="AG319" s="46"/>
    </row>
    <row r="320" spans="1:33" ht="12.75">
      <c r="A320" s="65"/>
      <c r="B320" s="106"/>
      <c r="C320" s="83" t="s">
        <v>218</v>
      </c>
      <c r="D320" s="80">
        <v>142296800</v>
      </c>
      <c r="E320" s="138">
        <v>8750000</v>
      </c>
      <c r="F320" s="82">
        <v>133546800</v>
      </c>
      <c r="G320" s="80">
        <f t="shared" si="206"/>
        <v>0</v>
      </c>
      <c r="H320" s="138"/>
      <c r="I320" s="82"/>
      <c r="J320" s="80">
        <f t="shared" si="207"/>
        <v>142296800</v>
      </c>
      <c r="K320" s="138">
        <f t="shared" si="214"/>
        <v>8750000</v>
      </c>
      <c r="L320" s="82">
        <f t="shared" si="215"/>
        <v>133546800</v>
      </c>
      <c r="M320" s="80">
        <f t="shared" si="208"/>
        <v>0</v>
      </c>
      <c r="N320" s="138"/>
      <c r="O320" s="82"/>
      <c r="P320" s="80">
        <f t="shared" si="209"/>
        <v>142296800</v>
      </c>
      <c r="Q320" s="138">
        <f t="shared" si="216"/>
        <v>8750000</v>
      </c>
      <c r="R320" s="82">
        <f t="shared" si="217"/>
        <v>133546800</v>
      </c>
      <c r="S320" s="80">
        <f t="shared" si="210"/>
        <v>4363000</v>
      </c>
      <c r="T320" s="138"/>
      <c r="U320" s="82">
        <f>2013000+2350000</f>
        <v>4363000</v>
      </c>
      <c r="V320" s="80">
        <f t="shared" si="211"/>
        <v>146659800</v>
      </c>
      <c r="W320" s="138">
        <f t="shared" si="218"/>
        <v>8750000</v>
      </c>
      <c r="X320" s="82">
        <f t="shared" si="219"/>
        <v>137909800</v>
      </c>
      <c r="Y320" s="80">
        <f t="shared" si="212"/>
        <v>0</v>
      </c>
      <c r="Z320" s="138"/>
      <c r="AA320" s="82"/>
      <c r="AB320" s="80">
        <f t="shared" si="213"/>
        <v>146659800</v>
      </c>
      <c r="AC320" s="138">
        <f t="shared" si="220"/>
        <v>8750000</v>
      </c>
      <c r="AD320" s="82">
        <f t="shared" si="221"/>
        <v>137909800</v>
      </c>
      <c r="AF320" s="46">
        <f t="shared" si="197"/>
        <v>0</v>
      </c>
      <c r="AG320" s="46"/>
    </row>
    <row r="321" spans="1:33" ht="12.75">
      <c r="A321" s="65"/>
      <c r="B321" s="254">
        <v>92605</v>
      </c>
      <c r="C321" s="85" t="s">
        <v>219</v>
      </c>
      <c r="D321" s="88">
        <v>9399100</v>
      </c>
      <c r="E321" s="138">
        <v>9399100</v>
      </c>
      <c r="F321" s="150">
        <v>0</v>
      </c>
      <c r="G321" s="88">
        <f t="shared" si="206"/>
        <v>500000</v>
      </c>
      <c r="H321" s="138">
        <f>H322</f>
        <v>500000</v>
      </c>
      <c r="I321" s="150">
        <v>0</v>
      </c>
      <c r="J321" s="88">
        <f t="shared" si="207"/>
        <v>9899100</v>
      </c>
      <c r="K321" s="138">
        <f t="shared" si="214"/>
        <v>9899100</v>
      </c>
      <c r="L321" s="150">
        <f t="shared" si="215"/>
        <v>0</v>
      </c>
      <c r="M321" s="88">
        <f t="shared" si="208"/>
        <v>0</v>
      </c>
      <c r="N321" s="138">
        <f>N322</f>
        <v>0</v>
      </c>
      <c r="O321" s="150">
        <v>0</v>
      </c>
      <c r="P321" s="88">
        <f t="shared" si="209"/>
        <v>9899100</v>
      </c>
      <c r="Q321" s="138">
        <f t="shared" si="216"/>
        <v>9899100</v>
      </c>
      <c r="R321" s="150">
        <f t="shared" si="217"/>
        <v>0</v>
      </c>
      <c r="S321" s="88">
        <f t="shared" si="210"/>
        <v>-3000</v>
      </c>
      <c r="T321" s="138">
        <f>T322</f>
        <v>-3000</v>
      </c>
      <c r="U321" s="150">
        <v>0</v>
      </c>
      <c r="V321" s="88">
        <f t="shared" si="211"/>
        <v>9896100</v>
      </c>
      <c r="W321" s="138">
        <f t="shared" si="218"/>
        <v>9896100</v>
      </c>
      <c r="X321" s="150">
        <f t="shared" si="219"/>
        <v>0</v>
      </c>
      <c r="Y321" s="88">
        <f t="shared" si="212"/>
        <v>0</v>
      </c>
      <c r="Z321" s="138">
        <f>Z322</f>
        <v>0</v>
      </c>
      <c r="AA321" s="150">
        <v>0</v>
      </c>
      <c r="AB321" s="88">
        <f t="shared" si="213"/>
        <v>9896100</v>
      </c>
      <c r="AC321" s="138">
        <f t="shared" si="220"/>
        <v>9896100</v>
      </c>
      <c r="AD321" s="150">
        <f t="shared" si="221"/>
        <v>0</v>
      </c>
      <c r="AF321" s="46">
        <f t="shared" si="197"/>
        <v>0</v>
      </c>
      <c r="AG321" s="46"/>
    </row>
    <row r="322" spans="1:33" ht="12.75">
      <c r="A322" s="65"/>
      <c r="B322" s="106"/>
      <c r="C322" s="83" t="s">
        <v>220</v>
      </c>
      <c r="D322" s="80">
        <v>9399100</v>
      </c>
      <c r="E322" s="138">
        <v>9399100</v>
      </c>
      <c r="F322" s="178">
        <v>0</v>
      </c>
      <c r="G322" s="80">
        <f t="shared" si="206"/>
        <v>500000</v>
      </c>
      <c r="H322" s="138">
        <v>500000</v>
      </c>
      <c r="I322" s="178">
        <v>0</v>
      </c>
      <c r="J322" s="80">
        <f t="shared" si="207"/>
        <v>9899100</v>
      </c>
      <c r="K322" s="138">
        <f t="shared" si="214"/>
        <v>9899100</v>
      </c>
      <c r="L322" s="178">
        <f t="shared" si="215"/>
        <v>0</v>
      </c>
      <c r="M322" s="80">
        <f t="shared" si="208"/>
        <v>0</v>
      </c>
      <c r="N322" s="138">
        <v>0</v>
      </c>
      <c r="O322" s="178">
        <v>0</v>
      </c>
      <c r="P322" s="80">
        <f t="shared" si="209"/>
        <v>9899100</v>
      </c>
      <c r="Q322" s="138">
        <f t="shared" si="216"/>
        <v>9899100</v>
      </c>
      <c r="R322" s="178">
        <f t="shared" si="217"/>
        <v>0</v>
      </c>
      <c r="S322" s="80">
        <f t="shared" si="210"/>
        <v>-3000</v>
      </c>
      <c r="T322" s="138">
        <v>-3000</v>
      </c>
      <c r="U322" s="178">
        <v>0</v>
      </c>
      <c r="V322" s="80">
        <f t="shared" si="211"/>
        <v>9896100</v>
      </c>
      <c r="W322" s="138">
        <f t="shared" si="218"/>
        <v>9896100</v>
      </c>
      <c r="X322" s="178">
        <f t="shared" si="219"/>
        <v>0</v>
      </c>
      <c r="Y322" s="80">
        <f t="shared" si="212"/>
        <v>0</v>
      </c>
      <c r="Z322" s="138"/>
      <c r="AA322" s="178"/>
      <c r="AB322" s="80">
        <f t="shared" si="213"/>
        <v>9896100</v>
      </c>
      <c r="AC322" s="138">
        <f t="shared" si="220"/>
        <v>9896100</v>
      </c>
      <c r="AD322" s="178">
        <f t="shared" si="221"/>
        <v>0</v>
      </c>
      <c r="AF322" s="46">
        <f t="shared" si="197"/>
        <v>0</v>
      </c>
      <c r="AG322" s="46"/>
    </row>
    <row r="323" spans="1:33" ht="12.75">
      <c r="A323" s="65"/>
      <c r="B323" s="106">
        <v>92695</v>
      </c>
      <c r="C323" s="83" t="s">
        <v>29</v>
      </c>
      <c r="D323" s="80">
        <v>1693137</v>
      </c>
      <c r="E323" s="81">
        <v>1125393</v>
      </c>
      <c r="F323" s="82">
        <v>567744</v>
      </c>
      <c r="G323" s="80">
        <f t="shared" si="206"/>
        <v>416773</v>
      </c>
      <c r="H323" s="81">
        <f>SUM(H324:H328)</f>
        <v>377332</v>
      </c>
      <c r="I323" s="82">
        <f>SUM(I324:I328)</f>
        <v>39441</v>
      </c>
      <c r="J323" s="80">
        <f t="shared" si="207"/>
        <v>2109910</v>
      </c>
      <c r="K323" s="81">
        <f t="shared" si="214"/>
        <v>1502725</v>
      </c>
      <c r="L323" s="82">
        <f t="shared" si="215"/>
        <v>607185</v>
      </c>
      <c r="M323" s="80">
        <f t="shared" si="208"/>
        <v>0</v>
      </c>
      <c r="N323" s="81">
        <f>SUM(N324:N328)</f>
        <v>0</v>
      </c>
      <c r="O323" s="82">
        <f>SUM(O324:O328)</f>
        <v>0</v>
      </c>
      <c r="P323" s="80">
        <f t="shared" si="209"/>
        <v>2109910</v>
      </c>
      <c r="Q323" s="81">
        <f t="shared" si="216"/>
        <v>1502725</v>
      </c>
      <c r="R323" s="82">
        <f t="shared" si="217"/>
        <v>607185</v>
      </c>
      <c r="S323" s="80">
        <f t="shared" si="210"/>
        <v>-14730</v>
      </c>
      <c r="T323" s="81">
        <f>SUM(T324:T328)</f>
        <v>-15840</v>
      </c>
      <c r="U323" s="82">
        <f>SUM(U324:U328)</f>
        <v>1110</v>
      </c>
      <c r="V323" s="80">
        <f t="shared" si="211"/>
        <v>2095180</v>
      </c>
      <c r="W323" s="81">
        <f t="shared" si="218"/>
        <v>1486885</v>
      </c>
      <c r="X323" s="82">
        <f t="shared" si="219"/>
        <v>608295</v>
      </c>
      <c r="Y323" s="80">
        <f t="shared" si="212"/>
        <v>0</v>
      </c>
      <c r="Z323" s="81">
        <f>SUM(Z324:Z328)</f>
        <v>0</v>
      </c>
      <c r="AA323" s="82">
        <f>SUM(AA324:AA328)</f>
        <v>0</v>
      </c>
      <c r="AB323" s="80">
        <f t="shared" si="213"/>
        <v>2095180</v>
      </c>
      <c r="AC323" s="81">
        <f t="shared" si="220"/>
        <v>1486885</v>
      </c>
      <c r="AD323" s="82">
        <f t="shared" si="221"/>
        <v>608295</v>
      </c>
      <c r="AF323" s="46">
        <f t="shared" si="197"/>
        <v>0</v>
      </c>
      <c r="AG323" s="46"/>
    </row>
    <row r="324" spans="1:33" s="120" customFormat="1" ht="14.25" customHeight="1">
      <c r="A324" s="65"/>
      <c r="B324" s="317"/>
      <c r="C324" s="116" t="s">
        <v>220</v>
      </c>
      <c r="D324" s="318">
        <v>400000</v>
      </c>
      <c r="E324" s="118">
        <v>400000</v>
      </c>
      <c r="F324" s="144">
        <v>0</v>
      </c>
      <c r="G324" s="318">
        <f t="shared" si="206"/>
        <v>400000</v>
      </c>
      <c r="H324" s="118">
        <v>400000</v>
      </c>
      <c r="I324" s="144"/>
      <c r="J324" s="318">
        <f t="shared" si="207"/>
        <v>800000</v>
      </c>
      <c r="K324" s="118">
        <f t="shared" si="214"/>
        <v>800000</v>
      </c>
      <c r="L324" s="144">
        <f t="shared" si="215"/>
        <v>0</v>
      </c>
      <c r="M324" s="318">
        <f t="shared" si="208"/>
        <v>0</v>
      </c>
      <c r="N324" s="118">
        <v>0</v>
      </c>
      <c r="O324" s="144"/>
      <c r="P324" s="318">
        <f t="shared" si="209"/>
        <v>800000</v>
      </c>
      <c r="Q324" s="118">
        <f t="shared" si="216"/>
        <v>800000</v>
      </c>
      <c r="R324" s="144">
        <f t="shared" si="217"/>
        <v>0</v>
      </c>
      <c r="S324" s="318">
        <f t="shared" si="210"/>
        <v>0</v>
      </c>
      <c r="T324" s="118">
        <v>0</v>
      </c>
      <c r="U324" s="144"/>
      <c r="V324" s="318">
        <f t="shared" si="211"/>
        <v>800000</v>
      </c>
      <c r="W324" s="118">
        <f t="shared" si="218"/>
        <v>800000</v>
      </c>
      <c r="X324" s="144">
        <f t="shared" si="219"/>
        <v>0</v>
      </c>
      <c r="Y324" s="318">
        <f t="shared" si="212"/>
        <v>0</v>
      </c>
      <c r="Z324" s="118"/>
      <c r="AA324" s="144"/>
      <c r="AB324" s="318">
        <f t="shared" si="213"/>
        <v>800000</v>
      </c>
      <c r="AC324" s="118">
        <f t="shared" si="220"/>
        <v>800000</v>
      </c>
      <c r="AD324" s="144">
        <f t="shared" si="221"/>
        <v>0</v>
      </c>
      <c r="AF324" s="46">
        <f t="shared" si="197"/>
        <v>0</v>
      </c>
      <c r="AG324" s="46"/>
    </row>
    <row r="325" spans="1:33" s="218" customFormat="1" ht="12.75" hidden="1">
      <c r="A325" s="215"/>
      <c r="B325" s="216"/>
      <c r="C325" s="266" t="s">
        <v>69</v>
      </c>
      <c r="D325" s="319">
        <v>0</v>
      </c>
      <c r="E325" s="182">
        <v>0</v>
      </c>
      <c r="F325" s="268">
        <v>0</v>
      </c>
      <c r="G325" s="319">
        <f t="shared" si="206"/>
        <v>0</v>
      </c>
      <c r="H325" s="182"/>
      <c r="I325" s="268"/>
      <c r="J325" s="319">
        <f t="shared" si="207"/>
        <v>0</v>
      </c>
      <c r="K325" s="182">
        <f t="shared" si="214"/>
        <v>0</v>
      </c>
      <c r="L325" s="268">
        <f t="shared" si="215"/>
        <v>0</v>
      </c>
      <c r="M325" s="319">
        <f t="shared" si="208"/>
        <v>0</v>
      </c>
      <c r="N325" s="182"/>
      <c r="O325" s="268"/>
      <c r="P325" s="319">
        <f t="shared" si="209"/>
        <v>0</v>
      </c>
      <c r="Q325" s="182">
        <f t="shared" si="216"/>
        <v>0</v>
      </c>
      <c r="R325" s="268">
        <f t="shared" si="217"/>
        <v>0</v>
      </c>
      <c r="S325" s="319">
        <f t="shared" si="210"/>
        <v>0</v>
      </c>
      <c r="T325" s="182"/>
      <c r="U325" s="268"/>
      <c r="V325" s="319">
        <f t="shared" si="211"/>
        <v>0</v>
      </c>
      <c r="W325" s="182">
        <f t="shared" si="218"/>
        <v>0</v>
      </c>
      <c r="X325" s="268">
        <f t="shared" si="219"/>
        <v>0</v>
      </c>
      <c r="Y325" s="319">
        <f t="shared" si="212"/>
        <v>0</v>
      </c>
      <c r="Z325" s="182"/>
      <c r="AA325" s="268"/>
      <c r="AB325" s="319">
        <f t="shared" si="213"/>
        <v>0</v>
      </c>
      <c r="AC325" s="182">
        <f t="shared" si="220"/>
        <v>0</v>
      </c>
      <c r="AD325" s="268">
        <f t="shared" si="221"/>
        <v>0</v>
      </c>
      <c r="AF325" s="46">
        <f t="shared" si="197"/>
        <v>0</v>
      </c>
      <c r="AG325" s="46"/>
    </row>
    <row r="326" spans="1:33" s="120" customFormat="1" ht="14.25" customHeight="1" hidden="1">
      <c r="A326" s="65"/>
      <c r="B326" s="317"/>
      <c r="C326" s="116" t="s">
        <v>47</v>
      </c>
      <c r="D326" s="318">
        <v>0</v>
      </c>
      <c r="E326" s="118">
        <v>0</v>
      </c>
      <c r="F326" s="144">
        <v>0</v>
      </c>
      <c r="G326" s="318">
        <f t="shared" si="206"/>
        <v>0</v>
      </c>
      <c r="H326" s="118"/>
      <c r="I326" s="144"/>
      <c r="J326" s="318">
        <f t="shared" si="207"/>
        <v>0</v>
      </c>
      <c r="K326" s="118">
        <f t="shared" si="214"/>
        <v>0</v>
      </c>
      <c r="L326" s="144">
        <f t="shared" si="215"/>
        <v>0</v>
      </c>
      <c r="M326" s="318">
        <f t="shared" si="208"/>
        <v>0</v>
      </c>
      <c r="N326" s="118"/>
      <c r="O326" s="144"/>
      <c r="P326" s="318">
        <f t="shared" si="209"/>
        <v>0</v>
      </c>
      <c r="Q326" s="118">
        <f t="shared" si="216"/>
        <v>0</v>
      </c>
      <c r="R326" s="144">
        <f t="shared" si="217"/>
        <v>0</v>
      </c>
      <c r="S326" s="318">
        <f t="shared" si="210"/>
        <v>0</v>
      </c>
      <c r="T326" s="118"/>
      <c r="U326" s="144"/>
      <c r="V326" s="318">
        <f t="shared" si="211"/>
        <v>0</v>
      </c>
      <c r="W326" s="118">
        <f t="shared" si="218"/>
        <v>0</v>
      </c>
      <c r="X326" s="144">
        <f t="shared" si="219"/>
        <v>0</v>
      </c>
      <c r="Y326" s="318">
        <f t="shared" si="212"/>
        <v>0</v>
      </c>
      <c r="Z326" s="118"/>
      <c r="AA326" s="144"/>
      <c r="AB326" s="318">
        <f t="shared" si="213"/>
        <v>0</v>
      </c>
      <c r="AC326" s="118">
        <f t="shared" si="220"/>
        <v>0</v>
      </c>
      <c r="AD326" s="144">
        <f t="shared" si="221"/>
        <v>0</v>
      </c>
      <c r="AF326" s="46">
        <f t="shared" si="197"/>
        <v>0</v>
      </c>
      <c r="AG326" s="46"/>
    </row>
    <row r="327" spans="1:33" s="120" customFormat="1" ht="14.25" customHeight="1" hidden="1">
      <c r="A327" s="65"/>
      <c r="B327" s="317"/>
      <c r="C327" s="116" t="s">
        <v>127</v>
      </c>
      <c r="D327" s="318">
        <v>0</v>
      </c>
      <c r="E327" s="118">
        <v>0</v>
      </c>
      <c r="F327" s="144">
        <v>0</v>
      </c>
      <c r="G327" s="318">
        <f t="shared" si="206"/>
        <v>0</v>
      </c>
      <c r="H327" s="118"/>
      <c r="I327" s="144"/>
      <c r="J327" s="318">
        <f t="shared" si="207"/>
        <v>0</v>
      </c>
      <c r="K327" s="118">
        <f t="shared" si="214"/>
        <v>0</v>
      </c>
      <c r="L327" s="144">
        <f t="shared" si="215"/>
        <v>0</v>
      </c>
      <c r="M327" s="318">
        <f t="shared" si="208"/>
        <v>0</v>
      </c>
      <c r="N327" s="118"/>
      <c r="O327" s="144"/>
      <c r="P327" s="318">
        <f t="shared" si="209"/>
        <v>0</v>
      </c>
      <c r="Q327" s="118">
        <f t="shared" si="216"/>
        <v>0</v>
      </c>
      <c r="R327" s="144">
        <f t="shared" si="217"/>
        <v>0</v>
      </c>
      <c r="S327" s="318">
        <f t="shared" si="210"/>
        <v>0</v>
      </c>
      <c r="T327" s="118"/>
      <c r="U327" s="144"/>
      <c r="V327" s="318">
        <f t="shared" si="211"/>
        <v>0</v>
      </c>
      <c r="W327" s="118">
        <f t="shared" si="218"/>
        <v>0</v>
      </c>
      <c r="X327" s="144">
        <f t="shared" si="219"/>
        <v>0</v>
      </c>
      <c r="Y327" s="318">
        <f t="shared" si="212"/>
        <v>0</v>
      </c>
      <c r="Z327" s="118"/>
      <c r="AA327" s="144"/>
      <c r="AB327" s="318">
        <f t="shared" si="213"/>
        <v>0</v>
      </c>
      <c r="AC327" s="118">
        <f t="shared" si="220"/>
        <v>0</v>
      </c>
      <c r="AD327" s="144">
        <f t="shared" si="221"/>
        <v>0</v>
      </c>
      <c r="AF327" s="46">
        <f t="shared" si="197"/>
        <v>0</v>
      </c>
      <c r="AG327" s="46"/>
    </row>
    <row r="328" spans="1:33" s="370" customFormat="1" ht="12.75">
      <c r="A328" s="94"/>
      <c r="B328" s="297"/>
      <c r="C328" s="316" t="s">
        <v>33</v>
      </c>
      <c r="D328" s="294">
        <v>1293137</v>
      </c>
      <c r="E328" s="111">
        <v>725393</v>
      </c>
      <c r="F328" s="127">
        <v>567744</v>
      </c>
      <c r="G328" s="294">
        <f t="shared" si="206"/>
        <v>16773</v>
      </c>
      <c r="H328" s="111">
        <f>-24668+2000</f>
        <v>-22668</v>
      </c>
      <c r="I328" s="127">
        <f>-2000+41441</f>
        <v>39441</v>
      </c>
      <c r="J328" s="294">
        <f t="shared" si="207"/>
        <v>1309910</v>
      </c>
      <c r="K328" s="111">
        <f t="shared" si="214"/>
        <v>702725</v>
      </c>
      <c r="L328" s="127">
        <f t="shared" si="215"/>
        <v>607185</v>
      </c>
      <c r="M328" s="294">
        <f t="shared" si="208"/>
        <v>0</v>
      </c>
      <c r="N328" s="111">
        <v>0</v>
      </c>
      <c r="O328" s="127">
        <v>0</v>
      </c>
      <c r="P328" s="294">
        <f t="shared" si="209"/>
        <v>1309910</v>
      </c>
      <c r="Q328" s="111">
        <f t="shared" si="216"/>
        <v>702725</v>
      </c>
      <c r="R328" s="127">
        <f t="shared" si="217"/>
        <v>607185</v>
      </c>
      <c r="S328" s="294">
        <f t="shared" si="210"/>
        <v>-14730</v>
      </c>
      <c r="T328" s="111">
        <v>-15840</v>
      </c>
      <c r="U328" s="127">
        <v>1110</v>
      </c>
      <c r="V328" s="294">
        <f t="shared" si="211"/>
        <v>1295180</v>
      </c>
      <c r="W328" s="111">
        <f t="shared" si="218"/>
        <v>686885</v>
      </c>
      <c r="X328" s="127">
        <f t="shared" si="219"/>
        <v>608295</v>
      </c>
      <c r="Y328" s="294">
        <f t="shared" si="212"/>
        <v>0</v>
      </c>
      <c r="Z328" s="111"/>
      <c r="AA328" s="127"/>
      <c r="AB328" s="294">
        <f t="shared" si="213"/>
        <v>1295180</v>
      </c>
      <c r="AC328" s="111">
        <f t="shared" si="220"/>
        <v>686885</v>
      </c>
      <c r="AD328" s="127">
        <f t="shared" si="221"/>
        <v>608295</v>
      </c>
      <c r="AF328" s="46">
        <f t="shared" si="197"/>
        <v>0</v>
      </c>
      <c r="AG328" s="46"/>
    </row>
    <row r="329" spans="2:33" ht="5.25" customHeight="1" thickBot="1">
      <c r="B329" s="108"/>
      <c r="C329" s="320"/>
      <c r="D329" s="321"/>
      <c r="E329" s="322"/>
      <c r="F329" s="323"/>
      <c r="G329" s="321"/>
      <c r="H329" s="322"/>
      <c r="I329" s="323"/>
      <c r="J329" s="321"/>
      <c r="K329" s="322"/>
      <c r="L329" s="323"/>
      <c r="M329" s="321"/>
      <c r="N329" s="322"/>
      <c r="O329" s="323"/>
      <c r="P329" s="321"/>
      <c r="Q329" s="322"/>
      <c r="R329" s="323"/>
      <c r="S329" s="321"/>
      <c r="T329" s="322"/>
      <c r="U329" s="323"/>
      <c r="V329" s="321"/>
      <c r="W329" s="322"/>
      <c r="X329" s="323"/>
      <c r="Y329" s="321"/>
      <c r="Z329" s="322"/>
      <c r="AA329" s="323"/>
      <c r="AB329" s="321"/>
      <c r="AC329" s="322"/>
      <c r="AD329" s="323"/>
      <c r="AF329" s="46">
        <f t="shared" si="197"/>
        <v>0</v>
      </c>
      <c r="AG329" s="46"/>
    </row>
    <row r="330" spans="1:33" ht="18" customHeight="1" thickTop="1">
      <c r="A330" s="324"/>
      <c r="B330" s="115"/>
      <c r="C330" s="325" t="s">
        <v>221</v>
      </c>
      <c r="D330" s="326">
        <v>79942281</v>
      </c>
      <c r="E330" s="327">
        <v>79942281</v>
      </c>
      <c r="F330" s="328">
        <v>0</v>
      </c>
      <c r="G330" s="326">
        <f>H330+I330</f>
        <v>0</v>
      </c>
      <c r="H330" s="327">
        <f>H333+H358</f>
        <v>0</v>
      </c>
      <c r="I330" s="328">
        <f>I333+I358</f>
        <v>0</v>
      </c>
      <c r="J330" s="326">
        <f>K330+L330</f>
        <v>79942281</v>
      </c>
      <c r="K330" s="327">
        <f>K333+K358</f>
        <v>79942281</v>
      </c>
      <c r="L330" s="328">
        <f>L333+L358</f>
        <v>0</v>
      </c>
      <c r="M330" s="326">
        <f>N330+O330</f>
        <v>1117252</v>
      </c>
      <c r="N330" s="327">
        <f>N333+N358</f>
        <v>1117252</v>
      </c>
      <c r="O330" s="328">
        <f>O333+O358</f>
        <v>0</v>
      </c>
      <c r="P330" s="326">
        <f>Q330+R330</f>
        <v>81059533</v>
      </c>
      <c r="Q330" s="327">
        <f>Q333+Q358</f>
        <v>81059533</v>
      </c>
      <c r="R330" s="328">
        <f>R333+R358</f>
        <v>0</v>
      </c>
      <c r="S330" s="326">
        <f>T330+U330</f>
        <v>44435</v>
      </c>
      <c r="T330" s="327">
        <f>T333+T358</f>
        <v>44435</v>
      </c>
      <c r="U330" s="328">
        <f>U333+U358</f>
        <v>0</v>
      </c>
      <c r="V330" s="326">
        <f>W330+X330</f>
        <v>81103968</v>
      </c>
      <c r="W330" s="327">
        <f>W333+W358</f>
        <v>81103968</v>
      </c>
      <c r="X330" s="328">
        <f>X333+X358</f>
        <v>0</v>
      </c>
      <c r="Y330" s="326">
        <f>Z330+AA330</f>
        <v>340450</v>
      </c>
      <c r="Z330" s="327">
        <f>Z333+Z358</f>
        <v>340450</v>
      </c>
      <c r="AA330" s="328">
        <f>AA333+AA358</f>
        <v>0</v>
      </c>
      <c r="AB330" s="326">
        <f>AC330+AD330</f>
        <v>81444418</v>
      </c>
      <c r="AC330" s="327">
        <f>AC333+AC358</f>
        <v>81444418</v>
      </c>
      <c r="AD330" s="328">
        <f>AD333+AD358</f>
        <v>0</v>
      </c>
      <c r="AF330" s="46">
        <f t="shared" si="197"/>
        <v>0</v>
      </c>
      <c r="AG330" s="46"/>
    </row>
    <row r="331" spans="1:33" ht="4.5" customHeight="1" thickBot="1">
      <c r="A331" s="324"/>
      <c r="B331" s="108"/>
      <c r="C331" s="320"/>
      <c r="D331" s="321"/>
      <c r="E331" s="322"/>
      <c r="F331" s="329"/>
      <c r="G331" s="321"/>
      <c r="H331" s="322"/>
      <c r="I331" s="329"/>
      <c r="J331" s="321"/>
      <c r="K331" s="322"/>
      <c r="L331" s="329"/>
      <c r="M331" s="321"/>
      <c r="N331" s="322"/>
      <c r="O331" s="329"/>
      <c r="P331" s="321"/>
      <c r="Q331" s="322"/>
      <c r="R331" s="329"/>
      <c r="S331" s="321"/>
      <c r="T331" s="322"/>
      <c r="U331" s="329"/>
      <c r="V331" s="321"/>
      <c r="W331" s="322"/>
      <c r="X331" s="329"/>
      <c r="Y331" s="321"/>
      <c r="Z331" s="322"/>
      <c r="AA331" s="329"/>
      <c r="AB331" s="321"/>
      <c r="AC331" s="322"/>
      <c r="AD331" s="329"/>
      <c r="AF331" s="46">
        <f t="shared" si="197"/>
        <v>0</v>
      </c>
      <c r="AG331" s="46"/>
    </row>
    <row r="332" spans="1:33" ht="13.5" thickTop="1">
      <c r="A332" s="324"/>
      <c r="B332" s="108"/>
      <c r="C332" s="90" t="s">
        <v>6</v>
      </c>
      <c r="D332" s="91"/>
      <c r="E332" s="92"/>
      <c r="F332" s="93"/>
      <c r="G332" s="91"/>
      <c r="H332" s="92"/>
      <c r="I332" s="93"/>
      <c r="J332" s="91"/>
      <c r="K332" s="92"/>
      <c r="L332" s="93"/>
      <c r="M332" s="91"/>
      <c r="N332" s="92"/>
      <c r="O332" s="93"/>
      <c r="P332" s="91"/>
      <c r="Q332" s="92"/>
      <c r="R332" s="93"/>
      <c r="S332" s="91"/>
      <c r="T332" s="92"/>
      <c r="U332" s="93"/>
      <c r="V332" s="91"/>
      <c r="W332" s="92"/>
      <c r="X332" s="93"/>
      <c r="Y332" s="91"/>
      <c r="Z332" s="92"/>
      <c r="AA332" s="93"/>
      <c r="AB332" s="91"/>
      <c r="AC332" s="92"/>
      <c r="AD332" s="93"/>
      <c r="AF332" s="46">
        <f t="shared" si="197"/>
        <v>0</v>
      </c>
      <c r="AG332" s="46"/>
    </row>
    <row r="333" spans="1:33" s="336" customFormat="1" ht="12.75">
      <c r="A333" s="330"/>
      <c r="B333" s="331"/>
      <c r="C333" s="332" t="s">
        <v>222</v>
      </c>
      <c r="D333" s="333">
        <v>79942281</v>
      </c>
      <c r="E333" s="334">
        <v>79942281</v>
      </c>
      <c r="F333" s="335">
        <v>0</v>
      </c>
      <c r="G333" s="333">
        <f>H333+I333</f>
        <v>0</v>
      </c>
      <c r="H333" s="334">
        <f>H337+H339+H343+H348+H353+H355+H345+H335</f>
        <v>0</v>
      </c>
      <c r="I333" s="335">
        <f>I337+I339+I343+I348+I353+I355+I345+I335</f>
        <v>0</v>
      </c>
      <c r="J333" s="333">
        <f>K333+L333</f>
        <v>79942281</v>
      </c>
      <c r="K333" s="334">
        <f>K337+K339+K343+K348+K353+K355+K345+K335</f>
        <v>79942281</v>
      </c>
      <c r="L333" s="335">
        <f>L337+L339+L343+L348+L353+L355+L345+L335</f>
        <v>0</v>
      </c>
      <c r="M333" s="333">
        <f>N333+O333</f>
        <v>1117252</v>
      </c>
      <c r="N333" s="334">
        <f>N337+N339+N343+N348+N353+N355+N345+N335</f>
        <v>1117252</v>
      </c>
      <c r="O333" s="335">
        <f>O337+O339+O343+O348+O353+O355+O345+O335</f>
        <v>0</v>
      </c>
      <c r="P333" s="333">
        <f>Q333+R333</f>
        <v>81059533</v>
      </c>
      <c r="Q333" s="334">
        <f>Q337+Q339+Q343+Q348+Q353+Q355+Q345+Q335</f>
        <v>81059533</v>
      </c>
      <c r="R333" s="335">
        <f>R337+R339+R343+R348+R353+R355+R345+R335</f>
        <v>0</v>
      </c>
      <c r="S333" s="333">
        <f>T333+U333</f>
        <v>44435</v>
      </c>
      <c r="T333" s="334">
        <f>T337+T339+T343+T348+T353+T355+T345+T335</f>
        <v>44435</v>
      </c>
      <c r="U333" s="335">
        <f>U337+U339+U343+U348+U353+U355+U345+U335</f>
        <v>0</v>
      </c>
      <c r="V333" s="333">
        <f>W333+X333</f>
        <v>81103968</v>
      </c>
      <c r="W333" s="334">
        <f>W337+W339+W343+W348+W353+W355+W345+W335</f>
        <v>81103968</v>
      </c>
      <c r="X333" s="335">
        <f>X337+X339+X343+X348+X353+X355+X345+X335</f>
        <v>0</v>
      </c>
      <c r="Y333" s="333">
        <f>Z333+AA333</f>
        <v>105450</v>
      </c>
      <c r="Z333" s="334">
        <f>Z337+Z339+Z343+Z348+Z353+Z355+Z345+Z335</f>
        <v>105450</v>
      </c>
      <c r="AA333" s="335">
        <f>AA337+AA339+AA343+AA348+AA353+AA355+AA345+AA335</f>
        <v>0</v>
      </c>
      <c r="AB333" s="333">
        <f>AC333+AD333</f>
        <v>81209418</v>
      </c>
      <c r="AC333" s="334">
        <f>AC337+AC339+AC343+AC348+AC353+AC355+AC345+AC335</f>
        <v>81209418</v>
      </c>
      <c r="AD333" s="335">
        <f>AD337+AD339+AD343+AD348+AD353+AD355+AD345+AD335</f>
        <v>0</v>
      </c>
      <c r="AF333" s="46">
        <f t="shared" si="197"/>
        <v>0</v>
      </c>
      <c r="AG333" s="46"/>
    </row>
    <row r="334" spans="1:33" ht="6" customHeight="1" thickBot="1">
      <c r="A334" s="324"/>
      <c r="B334" s="337"/>
      <c r="C334" s="320"/>
      <c r="D334" s="321"/>
      <c r="E334" s="322"/>
      <c r="F334" s="329"/>
      <c r="G334" s="321"/>
      <c r="H334" s="322"/>
      <c r="I334" s="329"/>
      <c r="J334" s="321"/>
      <c r="K334" s="322"/>
      <c r="L334" s="329"/>
      <c r="M334" s="321"/>
      <c r="N334" s="322"/>
      <c r="O334" s="329"/>
      <c r="P334" s="321"/>
      <c r="Q334" s="322"/>
      <c r="R334" s="329"/>
      <c r="S334" s="321"/>
      <c r="T334" s="322"/>
      <c r="U334" s="329"/>
      <c r="V334" s="321"/>
      <c r="W334" s="322"/>
      <c r="X334" s="329"/>
      <c r="Y334" s="321"/>
      <c r="Z334" s="322"/>
      <c r="AA334" s="329"/>
      <c r="AB334" s="321"/>
      <c r="AC334" s="322"/>
      <c r="AD334" s="329"/>
      <c r="AF334" s="46">
        <f t="shared" si="197"/>
        <v>0</v>
      </c>
      <c r="AG334" s="46"/>
    </row>
    <row r="335" spans="1:33" ht="13.5" thickTop="1">
      <c r="A335" s="324"/>
      <c r="B335" s="73" t="s">
        <v>22</v>
      </c>
      <c r="C335" s="74" t="s">
        <v>23</v>
      </c>
      <c r="D335" s="75">
        <v>0</v>
      </c>
      <c r="E335" s="76">
        <v>0</v>
      </c>
      <c r="F335" s="158">
        <v>0</v>
      </c>
      <c r="G335" s="75">
        <f aca="true" t="shared" si="222" ref="G335:G342">H335+I335</f>
        <v>0</v>
      </c>
      <c r="H335" s="76">
        <f>H336</f>
        <v>0</v>
      </c>
      <c r="I335" s="158">
        <f>I336</f>
        <v>0</v>
      </c>
      <c r="J335" s="75">
        <f aca="true" t="shared" si="223" ref="J335:J342">K335+L335</f>
        <v>0</v>
      </c>
      <c r="K335" s="76">
        <f>K336</f>
        <v>0</v>
      </c>
      <c r="L335" s="158">
        <f>L336</f>
        <v>0</v>
      </c>
      <c r="M335" s="75">
        <f aca="true" t="shared" si="224" ref="M335:M342">N335+O335</f>
        <v>0</v>
      </c>
      <c r="N335" s="76">
        <f>N336</f>
        <v>0</v>
      </c>
      <c r="O335" s="158">
        <f>O336</f>
        <v>0</v>
      </c>
      <c r="P335" s="75">
        <f aca="true" t="shared" si="225" ref="P335:P342">Q335+R335</f>
        <v>0</v>
      </c>
      <c r="Q335" s="76">
        <f>Q336</f>
        <v>0</v>
      </c>
      <c r="R335" s="158">
        <f>R336</f>
        <v>0</v>
      </c>
      <c r="S335" s="75">
        <f aca="true" t="shared" si="226" ref="S335:S342">T335+U335</f>
        <v>44435</v>
      </c>
      <c r="T335" s="76">
        <f>T336</f>
        <v>44435</v>
      </c>
      <c r="U335" s="158">
        <f>U336</f>
        <v>0</v>
      </c>
      <c r="V335" s="75">
        <f aca="true" t="shared" si="227" ref="V335:V342">W335+X335</f>
        <v>44435</v>
      </c>
      <c r="W335" s="76">
        <f>W336</f>
        <v>44435</v>
      </c>
      <c r="X335" s="158">
        <f>X336</f>
        <v>0</v>
      </c>
      <c r="Y335" s="75">
        <f aca="true" t="shared" si="228" ref="Y335:Y342">Z335+AA335</f>
        <v>2850</v>
      </c>
      <c r="Z335" s="76">
        <f>Z336</f>
        <v>2850</v>
      </c>
      <c r="AA335" s="158">
        <f>AA336</f>
        <v>0</v>
      </c>
      <c r="AB335" s="75">
        <f>AC335+AD335</f>
        <v>47285</v>
      </c>
      <c r="AC335" s="76">
        <f>AC336</f>
        <v>47285</v>
      </c>
      <c r="AD335" s="158">
        <f>AD336</f>
        <v>0</v>
      </c>
      <c r="AF335" s="46">
        <f t="shared" si="197"/>
        <v>0</v>
      </c>
      <c r="AG335" s="46"/>
    </row>
    <row r="336" spans="1:33" ht="12.75">
      <c r="A336" s="324"/>
      <c r="B336" s="78" t="s">
        <v>28</v>
      </c>
      <c r="C336" s="83" t="s">
        <v>29</v>
      </c>
      <c r="D336" s="80">
        <v>0</v>
      </c>
      <c r="E336" s="81">
        <v>0</v>
      </c>
      <c r="F336" s="82">
        <v>0</v>
      </c>
      <c r="G336" s="80">
        <f t="shared" si="222"/>
        <v>0</v>
      </c>
      <c r="H336" s="81">
        <v>0</v>
      </c>
      <c r="I336" s="82">
        <v>0</v>
      </c>
      <c r="J336" s="80">
        <f t="shared" si="223"/>
        <v>0</v>
      </c>
      <c r="K336" s="81">
        <v>0</v>
      </c>
      <c r="L336" s="82">
        <v>0</v>
      </c>
      <c r="M336" s="80">
        <f t="shared" si="224"/>
        <v>0</v>
      </c>
      <c r="N336" s="81">
        <v>0</v>
      </c>
      <c r="O336" s="82">
        <v>0</v>
      </c>
      <c r="P336" s="80">
        <f t="shared" si="225"/>
        <v>0</v>
      </c>
      <c r="Q336" s="81">
        <v>0</v>
      </c>
      <c r="R336" s="82">
        <v>0</v>
      </c>
      <c r="S336" s="80">
        <f t="shared" si="226"/>
        <v>44435</v>
      </c>
      <c r="T336" s="81">
        <v>44435</v>
      </c>
      <c r="U336" s="82">
        <v>0</v>
      </c>
      <c r="V336" s="80">
        <f>W336+X336</f>
        <v>44435</v>
      </c>
      <c r="W336" s="81">
        <f>Q336+T336</f>
        <v>44435</v>
      </c>
      <c r="X336" s="82">
        <f>U336+R336</f>
        <v>0</v>
      </c>
      <c r="Y336" s="80">
        <f t="shared" si="228"/>
        <v>2850</v>
      </c>
      <c r="Z336" s="81">
        <v>2850</v>
      </c>
      <c r="AA336" s="82">
        <v>0</v>
      </c>
      <c r="AB336" s="80">
        <f>AC336+AD336</f>
        <v>47285</v>
      </c>
      <c r="AC336" s="81">
        <f>W336+Z336</f>
        <v>47285</v>
      </c>
      <c r="AD336" s="82">
        <f>AA336+X336</f>
        <v>0</v>
      </c>
      <c r="AF336" s="46">
        <f t="shared" si="197"/>
        <v>0</v>
      </c>
      <c r="AG336" s="46"/>
    </row>
    <row r="337" spans="1:33" ht="12.75">
      <c r="A337" s="324"/>
      <c r="B337" s="133">
        <v>750</v>
      </c>
      <c r="C337" s="134" t="s">
        <v>65</v>
      </c>
      <c r="D337" s="75">
        <v>3067000</v>
      </c>
      <c r="E337" s="76">
        <v>3067000</v>
      </c>
      <c r="F337" s="158">
        <v>0</v>
      </c>
      <c r="G337" s="75">
        <f t="shared" si="222"/>
        <v>0</v>
      </c>
      <c r="H337" s="76">
        <f>H338</f>
        <v>0</v>
      </c>
      <c r="I337" s="158">
        <f>I338</f>
        <v>0</v>
      </c>
      <c r="J337" s="75">
        <f t="shared" si="223"/>
        <v>3067000</v>
      </c>
      <c r="K337" s="76">
        <f>K338</f>
        <v>3067000</v>
      </c>
      <c r="L337" s="158">
        <f>L338</f>
        <v>0</v>
      </c>
      <c r="M337" s="75">
        <f t="shared" si="224"/>
        <v>0</v>
      </c>
      <c r="N337" s="76">
        <f>N338</f>
        <v>0</v>
      </c>
      <c r="O337" s="158">
        <f>O338</f>
        <v>0</v>
      </c>
      <c r="P337" s="75">
        <f t="shared" si="225"/>
        <v>3067000</v>
      </c>
      <c r="Q337" s="76">
        <f>Q338</f>
        <v>3067000</v>
      </c>
      <c r="R337" s="158">
        <f>R338</f>
        <v>0</v>
      </c>
      <c r="S337" s="75">
        <f t="shared" si="226"/>
        <v>0</v>
      </c>
      <c r="T337" s="76">
        <f>T338</f>
        <v>0</v>
      </c>
      <c r="U337" s="158">
        <f>U338</f>
        <v>0</v>
      </c>
      <c r="V337" s="75">
        <f t="shared" si="227"/>
        <v>3067000</v>
      </c>
      <c r="W337" s="76">
        <f>W338</f>
        <v>3067000</v>
      </c>
      <c r="X337" s="158">
        <f>X338</f>
        <v>0</v>
      </c>
      <c r="Y337" s="75">
        <f t="shared" si="228"/>
        <v>0</v>
      </c>
      <c r="Z337" s="76">
        <f>Z338</f>
        <v>0</v>
      </c>
      <c r="AA337" s="158">
        <f>AA338</f>
        <v>0</v>
      </c>
      <c r="AB337" s="75">
        <f aca="true" t="shared" si="229" ref="AB337:AB342">AC337+AD337</f>
        <v>3067000</v>
      </c>
      <c r="AC337" s="76">
        <f>AC338</f>
        <v>3067000</v>
      </c>
      <c r="AD337" s="158">
        <f>AD338</f>
        <v>0</v>
      </c>
      <c r="AF337" s="46">
        <f t="shared" si="197"/>
        <v>0</v>
      </c>
      <c r="AG337" s="46"/>
    </row>
    <row r="338" spans="1:33" ht="12.75">
      <c r="A338" s="324"/>
      <c r="B338" s="106">
        <v>75011</v>
      </c>
      <c r="C338" s="83" t="s">
        <v>223</v>
      </c>
      <c r="D338" s="80">
        <v>3067000</v>
      </c>
      <c r="E338" s="81">
        <v>3067000</v>
      </c>
      <c r="F338" s="82">
        <v>0</v>
      </c>
      <c r="G338" s="80">
        <f t="shared" si="222"/>
        <v>0</v>
      </c>
      <c r="H338" s="81"/>
      <c r="I338" s="82">
        <v>0</v>
      </c>
      <c r="J338" s="80">
        <f t="shared" si="223"/>
        <v>3067000</v>
      </c>
      <c r="K338" s="81">
        <f>E338+H338</f>
        <v>3067000</v>
      </c>
      <c r="L338" s="82">
        <f>I338+F338</f>
        <v>0</v>
      </c>
      <c r="M338" s="80">
        <f t="shared" si="224"/>
        <v>0</v>
      </c>
      <c r="N338" s="81"/>
      <c r="O338" s="82">
        <v>0</v>
      </c>
      <c r="P338" s="80">
        <f t="shared" si="225"/>
        <v>3067000</v>
      </c>
      <c r="Q338" s="81">
        <f>K338+N338</f>
        <v>3067000</v>
      </c>
      <c r="R338" s="82">
        <f>O338+L338</f>
        <v>0</v>
      </c>
      <c r="S338" s="80">
        <f t="shared" si="226"/>
        <v>0</v>
      </c>
      <c r="T338" s="81"/>
      <c r="U338" s="82">
        <v>0</v>
      </c>
      <c r="V338" s="80">
        <f t="shared" si="227"/>
        <v>3067000</v>
      </c>
      <c r="W338" s="81">
        <f>Q338+T338</f>
        <v>3067000</v>
      </c>
      <c r="X338" s="82">
        <f>U338+R338</f>
        <v>0</v>
      </c>
      <c r="Y338" s="80">
        <f t="shared" si="228"/>
        <v>0</v>
      </c>
      <c r="Z338" s="81"/>
      <c r="AA338" s="82">
        <v>0</v>
      </c>
      <c r="AB338" s="80">
        <f t="shared" si="229"/>
        <v>3067000</v>
      </c>
      <c r="AC338" s="81">
        <f>W338+Z338</f>
        <v>3067000</v>
      </c>
      <c r="AD338" s="82">
        <f>AA338+X338</f>
        <v>0</v>
      </c>
      <c r="AF338" s="46">
        <f t="shared" si="197"/>
        <v>0</v>
      </c>
      <c r="AG338" s="46"/>
    </row>
    <row r="339" spans="1:33" ht="26.25" customHeight="1">
      <c r="A339" s="324"/>
      <c r="B339" s="101">
        <v>751</v>
      </c>
      <c r="C339" s="338" t="s">
        <v>224</v>
      </c>
      <c r="D339" s="339">
        <v>91981</v>
      </c>
      <c r="E339" s="340">
        <v>91981</v>
      </c>
      <c r="F339" s="341">
        <v>0</v>
      </c>
      <c r="G339" s="339">
        <f t="shared" si="222"/>
        <v>0</v>
      </c>
      <c r="H339" s="340">
        <f>H340+H341+H342</f>
        <v>0</v>
      </c>
      <c r="I339" s="341">
        <f>I340+I341+I342</f>
        <v>0</v>
      </c>
      <c r="J339" s="339">
        <f t="shared" si="223"/>
        <v>91981</v>
      </c>
      <c r="K339" s="340">
        <f>K340+K341+K342</f>
        <v>91981</v>
      </c>
      <c r="L339" s="341">
        <f>L340+L341+L342</f>
        <v>0</v>
      </c>
      <c r="M339" s="339">
        <f t="shared" si="224"/>
        <v>-10648</v>
      </c>
      <c r="N339" s="340">
        <f>N340+N341+N342</f>
        <v>-10648</v>
      </c>
      <c r="O339" s="341">
        <f>O340+O341+O342</f>
        <v>0</v>
      </c>
      <c r="P339" s="339">
        <f t="shared" si="225"/>
        <v>81333</v>
      </c>
      <c r="Q339" s="340">
        <f>Q340+Q341+Q342</f>
        <v>81333</v>
      </c>
      <c r="R339" s="341">
        <f>R340+R341+R342</f>
        <v>0</v>
      </c>
      <c r="S339" s="339">
        <f t="shared" si="226"/>
        <v>0</v>
      </c>
      <c r="T339" s="340">
        <f>T340+T341+T342</f>
        <v>0</v>
      </c>
      <c r="U339" s="341">
        <f>U340+U341+U342</f>
        <v>0</v>
      </c>
      <c r="V339" s="339">
        <f t="shared" si="227"/>
        <v>81333</v>
      </c>
      <c r="W339" s="340">
        <f>W340+W341+W342</f>
        <v>81333</v>
      </c>
      <c r="X339" s="341">
        <f>X340+X341+X342</f>
        <v>0</v>
      </c>
      <c r="Y339" s="339">
        <f t="shared" si="228"/>
        <v>0</v>
      </c>
      <c r="Z339" s="340">
        <f>Z340+Z341+Z342</f>
        <v>0</v>
      </c>
      <c r="AA339" s="341">
        <f>AA340+AA341+AA342</f>
        <v>0</v>
      </c>
      <c r="AB339" s="339">
        <f t="shared" si="229"/>
        <v>81333</v>
      </c>
      <c r="AC339" s="340">
        <f>AC340+AC341+AC342</f>
        <v>81333</v>
      </c>
      <c r="AD339" s="341">
        <f>AD340+AD341+AD342</f>
        <v>0</v>
      </c>
      <c r="AF339" s="46">
        <f t="shared" si="197"/>
        <v>0</v>
      </c>
      <c r="AG339" s="46"/>
    </row>
    <row r="340" spans="1:33" ht="12.75" customHeight="1">
      <c r="A340" s="324"/>
      <c r="B340" s="254">
        <v>75101</v>
      </c>
      <c r="C340" s="281" t="s">
        <v>225</v>
      </c>
      <c r="D340" s="112">
        <v>91981</v>
      </c>
      <c r="E340" s="342">
        <v>91981</v>
      </c>
      <c r="F340" s="114">
        <v>0</v>
      </c>
      <c r="G340" s="112">
        <f t="shared" si="222"/>
        <v>0</v>
      </c>
      <c r="H340" s="342"/>
      <c r="I340" s="114">
        <v>0</v>
      </c>
      <c r="J340" s="112">
        <f t="shared" si="223"/>
        <v>91981</v>
      </c>
      <c r="K340" s="342">
        <f>E340+H340</f>
        <v>91981</v>
      </c>
      <c r="L340" s="114">
        <f>I340+F340</f>
        <v>0</v>
      </c>
      <c r="M340" s="112">
        <f t="shared" si="224"/>
        <v>-10648</v>
      </c>
      <c r="N340" s="342">
        <v>-10648</v>
      </c>
      <c r="O340" s="114">
        <v>0</v>
      </c>
      <c r="P340" s="112">
        <f t="shared" si="225"/>
        <v>81333</v>
      </c>
      <c r="Q340" s="342">
        <f>K340+N340</f>
        <v>81333</v>
      </c>
      <c r="R340" s="114">
        <f>O340+L340</f>
        <v>0</v>
      </c>
      <c r="S340" s="112">
        <f t="shared" si="226"/>
        <v>0</v>
      </c>
      <c r="T340" s="342">
        <v>0</v>
      </c>
      <c r="U340" s="114">
        <v>0</v>
      </c>
      <c r="V340" s="112">
        <f t="shared" si="227"/>
        <v>81333</v>
      </c>
      <c r="W340" s="342">
        <f>Q340+T340</f>
        <v>81333</v>
      </c>
      <c r="X340" s="114">
        <f>U340+R340</f>
        <v>0</v>
      </c>
      <c r="Y340" s="112">
        <f t="shared" si="228"/>
        <v>0</v>
      </c>
      <c r="Z340" s="342">
        <v>0</v>
      </c>
      <c r="AA340" s="114">
        <v>0</v>
      </c>
      <c r="AB340" s="112">
        <f t="shared" si="229"/>
        <v>81333</v>
      </c>
      <c r="AC340" s="342">
        <f>W340+Z340</f>
        <v>81333</v>
      </c>
      <c r="AD340" s="114">
        <f>AA340+X340</f>
        <v>0</v>
      </c>
      <c r="AF340" s="46">
        <f t="shared" si="197"/>
        <v>0</v>
      </c>
      <c r="AG340" s="46"/>
    </row>
    <row r="341" spans="1:33" ht="12" customHeight="1" hidden="1">
      <c r="A341" s="324"/>
      <c r="B341" s="136">
        <v>75107</v>
      </c>
      <c r="C341" s="281" t="s">
        <v>226</v>
      </c>
      <c r="D341" s="80">
        <v>0</v>
      </c>
      <c r="E341" s="205"/>
      <c r="F341" s="82">
        <v>0</v>
      </c>
      <c r="G341" s="80">
        <f t="shared" si="222"/>
        <v>0</v>
      </c>
      <c r="H341" s="205"/>
      <c r="I341" s="82">
        <v>0</v>
      </c>
      <c r="J341" s="80">
        <f t="shared" si="223"/>
        <v>0</v>
      </c>
      <c r="K341" s="205"/>
      <c r="L341" s="82">
        <v>0</v>
      </c>
      <c r="M341" s="80">
        <f t="shared" si="224"/>
        <v>0</v>
      </c>
      <c r="N341" s="205"/>
      <c r="O341" s="82">
        <v>0</v>
      </c>
      <c r="P341" s="80">
        <f t="shared" si="225"/>
        <v>0</v>
      </c>
      <c r="Q341" s="205"/>
      <c r="R341" s="82">
        <v>0</v>
      </c>
      <c r="S341" s="80">
        <f t="shared" si="226"/>
        <v>0</v>
      </c>
      <c r="T341" s="205"/>
      <c r="U341" s="82">
        <v>0</v>
      </c>
      <c r="V341" s="80">
        <f t="shared" si="227"/>
        <v>0</v>
      </c>
      <c r="W341" s="205"/>
      <c r="X341" s="82">
        <v>0</v>
      </c>
      <c r="Y341" s="80">
        <f t="shared" si="228"/>
        <v>0</v>
      </c>
      <c r="Z341" s="205"/>
      <c r="AA341" s="82">
        <v>0</v>
      </c>
      <c r="AB341" s="80">
        <f t="shared" si="229"/>
        <v>0</v>
      </c>
      <c r="AC341" s="205"/>
      <c r="AD341" s="82">
        <v>0</v>
      </c>
      <c r="AF341" s="46">
        <f t="shared" si="197"/>
        <v>0</v>
      </c>
      <c r="AG341" s="46"/>
    </row>
    <row r="342" spans="1:33" ht="33" customHeight="1" hidden="1">
      <c r="A342" s="324"/>
      <c r="B342" s="136">
        <v>75109</v>
      </c>
      <c r="C342" s="189" t="s">
        <v>227</v>
      </c>
      <c r="D342" s="80">
        <v>0</v>
      </c>
      <c r="E342" s="205"/>
      <c r="F342" s="82">
        <v>0</v>
      </c>
      <c r="G342" s="80">
        <f t="shared" si="222"/>
        <v>0</v>
      </c>
      <c r="H342" s="205"/>
      <c r="I342" s="82">
        <v>0</v>
      </c>
      <c r="J342" s="80">
        <f t="shared" si="223"/>
        <v>0</v>
      </c>
      <c r="K342" s="205"/>
      <c r="L342" s="82">
        <v>0</v>
      </c>
      <c r="M342" s="80">
        <f t="shared" si="224"/>
        <v>0</v>
      </c>
      <c r="N342" s="205"/>
      <c r="O342" s="82">
        <v>0</v>
      </c>
      <c r="P342" s="80">
        <f t="shared" si="225"/>
        <v>0</v>
      </c>
      <c r="Q342" s="205"/>
      <c r="R342" s="82">
        <v>0</v>
      </c>
      <c r="S342" s="80">
        <f t="shared" si="226"/>
        <v>0</v>
      </c>
      <c r="T342" s="205"/>
      <c r="U342" s="82">
        <v>0</v>
      </c>
      <c r="V342" s="80">
        <f t="shared" si="227"/>
        <v>0</v>
      </c>
      <c r="W342" s="205"/>
      <c r="X342" s="82">
        <v>0</v>
      </c>
      <c r="Y342" s="80">
        <f t="shared" si="228"/>
        <v>0</v>
      </c>
      <c r="Z342" s="205"/>
      <c r="AA342" s="82">
        <v>0</v>
      </c>
      <c r="AB342" s="80">
        <f t="shared" si="229"/>
        <v>0</v>
      </c>
      <c r="AC342" s="205"/>
      <c r="AD342" s="82">
        <v>0</v>
      </c>
      <c r="AF342" s="46">
        <f t="shared" si="197"/>
        <v>0</v>
      </c>
      <c r="AG342" s="46"/>
    </row>
    <row r="343" spans="1:33" ht="12.75" hidden="1">
      <c r="A343" s="324"/>
      <c r="B343" s="101">
        <v>754</v>
      </c>
      <c r="C343" s="149" t="s">
        <v>228</v>
      </c>
      <c r="D343" s="103">
        <v>0</v>
      </c>
      <c r="E343" s="104">
        <v>0</v>
      </c>
      <c r="F343" s="171">
        <v>0</v>
      </c>
      <c r="G343" s="103">
        <f aca="true" t="shared" si="230" ref="G343:AD343">G344</f>
        <v>0</v>
      </c>
      <c r="H343" s="104">
        <f t="shared" si="230"/>
        <v>0</v>
      </c>
      <c r="I343" s="171">
        <f t="shared" si="230"/>
        <v>0</v>
      </c>
      <c r="J343" s="103">
        <f t="shared" si="230"/>
        <v>0</v>
      </c>
      <c r="K343" s="104">
        <f t="shared" si="230"/>
        <v>0</v>
      </c>
      <c r="L343" s="171">
        <f t="shared" si="230"/>
        <v>0</v>
      </c>
      <c r="M343" s="103">
        <f t="shared" si="230"/>
        <v>0</v>
      </c>
      <c r="N343" s="104">
        <f t="shared" si="230"/>
        <v>0</v>
      </c>
      <c r="O343" s="171">
        <f t="shared" si="230"/>
        <v>0</v>
      </c>
      <c r="P343" s="103">
        <f t="shared" si="230"/>
        <v>0</v>
      </c>
      <c r="Q343" s="104">
        <f t="shared" si="230"/>
        <v>0</v>
      </c>
      <c r="R343" s="171">
        <f t="shared" si="230"/>
        <v>0</v>
      </c>
      <c r="S343" s="103">
        <f t="shared" si="230"/>
        <v>0</v>
      </c>
      <c r="T343" s="104">
        <f t="shared" si="230"/>
        <v>0</v>
      </c>
      <c r="U343" s="171">
        <f t="shared" si="230"/>
        <v>0</v>
      </c>
      <c r="V343" s="103">
        <f t="shared" si="230"/>
        <v>0</v>
      </c>
      <c r="W343" s="104">
        <f t="shared" si="230"/>
        <v>0</v>
      </c>
      <c r="X343" s="171">
        <f t="shared" si="230"/>
        <v>0</v>
      </c>
      <c r="Y343" s="103">
        <f t="shared" si="230"/>
        <v>0</v>
      </c>
      <c r="Z343" s="104">
        <f t="shared" si="230"/>
        <v>0</v>
      </c>
      <c r="AA343" s="171">
        <f t="shared" si="230"/>
        <v>0</v>
      </c>
      <c r="AB343" s="103">
        <f t="shared" si="230"/>
        <v>0</v>
      </c>
      <c r="AC343" s="104">
        <f t="shared" si="230"/>
        <v>0</v>
      </c>
      <c r="AD343" s="171">
        <f t="shared" si="230"/>
        <v>0</v>
      </c>
      <c r="AF343" s="46">
        <f t="shared" si="197"/>
        <v>0</v>
      </c>
      <c r="AG343" s="46"/>
    </row>
    <row r="344" spans="1:33" ht="12.75" hidden="1">
      <c r="A344" s="324"/>
      <c r="B344" s="106">
        <v>75414</v>
      </c>
      <c r="C344" s="83" t="s">
        <v>78</v>
      </c>
      <c r="D344" s="80">
        <v>0</v>
      </c>
      <c r="E344" s="81"/>
      <c r="F344" s="82"/>
      <c r="G344" s="80">
        <f>H344+I344</f>
        <v>0</v>
      </c>
      <c r="H344" s="81"/>
      <c r="I344" s="82"/>
      <c r="J344" s="80">
        <f>K344+L344</f>
        <v>0</v>
      </c>
      <c r="K344" s="81"/>
      <c r="L344" s="82"/>
      <c r="M344" s="80">
        <f>N344+O344</f>
        <v>0</v>
      </c>
      <c r="N344" s="81"/>
      <c r="O344" s="82"/>
      <c r="P344" s="80">
        <f>Q344+R344</f>
        <v>0</v>
      </c>
      <c r="Q344" s="81"/>
      <c r="R344" s="82"/>
      <c r="S344" s="80">
        <f>T344+U344</f>
        <v>0</v>
      </c>
      <c r="T344" s="81"/>
      <c r="U344" s="82"/>
      <c r="V344" s="80">
        <f>W344+X344</f>
        <v>0</v>
      </c>
      <c r="W344" s="81"/>
      <c r="X344" s="82"/>
      <c r="Y344" s="80">
        <f>Z344+AA344</f>
        <v>0</v>
      </c>
      <c r="Z344" s="81"/>
      <c r="AA344" s="82"/>
      <c r="AB344" s="80">
        <f>AC344+AD344</f>
        <v>0</v>
      </c>
      <c r="AC344" s="81"/>
      <c r="AD344" s="82"/>
      <c r="AF344" s="46">
        <f t="shared" si="197"/>
        <v>0</v>
      </c>
      <c r="AG344" s="46"/>
    </row>
    <row r="345" spans="1:33" ht="12.75" customHeight="1" hidden="1">
      <c r="A345" s="324"/>
      <c r="B345" s="133">
        <v>801</v>
      </c>
      <c r="C345" s="134" t="s">
        <v>113</v>
      </c>
      <c r="D345" s="75">
        <v>0</v>
      </c>
      <c r="E345" s="76">
        <v>0</v>
      </c>
      <c r="F345" s="158">
        <v>0</v>
      </c>
      <c r="G345" s="75">
        <f>H345+I345</f>
        <v>0</v>
      </c>
      <c r="H345" s="76">
        <f>H346+H347</f>
        <v>0</v>
      </c>
      <c r="I345" s="158">
        <f>I346+I347</f>
        <v>0</v>
      </c>
      <c r="J345" s="75">
        <f>K345+L345</f>
        <v>0</v>
      </c>
      <c r="K345" s="76">
        <f>K346+K347</f>
        <v>0</v>
      </c>
      <c r="L345" s="158">
        <f>L346+L347</f>
        <v>0</v>
      </c>
      <c r="M345" s="75">
        <f>N345+O345</f>
        <v>0</v>
      </c>
      <c r="N345" s="76">
        <f>N346+N347</f>
        <v>0</v>
      </c>
      <c r="O345" s="158">
        <f>O346+O347</f>
        <v>0</v>
      </c>
      <c r="P345" s="75">
        <f>Q345+R345</f>
        <v>0</v>
      </c>
      <c r="Q345" s="76">
        <f>Q346+Q347</f>
        <v>0</v>
      </c>
      <c r="R345" s="158">
        <f>R346+R347</f>
        <v>0</v>
      </c>
      <c r="S345" s="75">
        <f>T345+U345</f>
        <v>0</v>
      </c>
      <c r="T345" s="76">
        <f>T346+T347</f>
        <v>0</v>
      </c>
      <c r="U345" s="158">
        <f>U346+U347</f>
        <v>0</v>
      </c>
      <c r="V345" s="75">
        <f>W345+X345</f>
        <v>0</v>
      </c>
      <c r="W345" s="76">
        <f>W346+W347</f>
        <v>0</v>
      </c>
      <c r="X345" s="158">
        <f>X346+X347</f>
        <v>0</v>
      </c>
      <c r="Y345" s="75">
        <f>Z345+AA345</f>
        <v>0</v>
      </c>
      <c r="Z345" s="76">
        <f>Z346+Z347</f>
        <v>0</v>
      </c>
      <c r="AA345" s="158">
        <f>AA346+AA347</f>
        <v>0</v>
      </c>
      <c r="AB345" s="75">
        <f>AC345+AD345</f>
        <v>0</v>
      </c>
      <c r="AC345" s="76">
        <f>AC346+AC347</f>
        <v>0</v>
      </c>
      <c r="AD345" s="158">
        <f>AD346+AD347</f>
        <v>0</v>
      </c>
      <c r="AF345" s="46">
        <f t="shared" si="197"/>
        <v>0</v>
      </c>
      <c r="AG345" s="46"/>
    </row>
    <row r="346" spans="1:33" ht="12.75" customHeight="1" hidden="1">
      <c r="A346" s="324"/>
      <c r="B346" s="106">
        <v>80101</v>
      </c>
      <c r="C346" s="83" t="s">
        <v>114</v>
      </c>
      <c r="D346" s="112">
        <v>0</v>
      </c>
      <c r="E346" s="113"/>
      <c r="F346" s="82"/>
      <c r="G346" s="112">
        <f>I346+H346</f>
        <v>0</v>
      </c>
      <c r="H346" s="113"/>
      <c r="I346" s="82"/>
      <c r="J346" s="112">
        <f>L346+K346</f>
        <v>0</v>
      </c>
      <c r="K346" s="113"/>
      <c r="L346" s="82"/>
      <c r="M346" s="112">
        <f>O346+N346</f>
        <v>0</v>
      </c>
      <c r="N346" s="113"/>
      <c r="O346" s="82"/>
      <c r="P346" s="112">
        <f>R346+Q346</f>
        <v>0</v>
      </c>
      <c r="Q346" s="113"/>
      <c r="R346" s="82"/>
      <c r="S346" s="112">
        <f>U346+T346</f>
        <v>0</v>
      </c>
      <c r="T346" s="113"/>
      <c r="U346" s="82"/>
      <c r="V346" s="112">
        <f>X346+W346</f>
        <v>0</v>
      </c>
      <c r="W346" s="113"/>
      <c r="X346" s="82"/>
      <c r="Y346" s="112">
        <f>AA346+Z346</f>
        <v>0</v>
      </c>
      <c r="Z346" s="113"/>
      <c r="AA346" s="82"/>
      <c r="AB346" s="112">
        <f>AD346+AC346</f>
        <v>0</v>
      </c>
      <c r="AC346" s="113"/>
      <c r="AD346" s="82"/>
      <c r="AF346" s="46">
        <f t="shared" si="197"/>
        <v>0</v>
      </c>
      <c r="AG346" s="46"/>
    </row>
    <row r="347" spans="1:33" ht="12.75" customHeight="1" hidden="1">
      <c r="A347" s="324"/>
      <c r="B347" s="106">
        <v>80195</v>
      </c>
      <c r="C347" s="129" t="s">
        <v>229</v>
      </c>
      <c r="D347" s="112">
        <v>0</v>
      </c>
      <c r="E347" s="113">
        <v>0</v>
      </c>
      <c r="F347" s="114"/>
      <c r="G347" s="112">
        <f>I347+H347</f>
        <v>0</v>
      </c>
      <c r="H347" s="113">
        <v>0</v>
      </c>
      <c r="I347" s="114"/>
      <c r="J347" s="112">
        <f>L347+K347</f>
        <v>0</v>
      </c>
      <c r="K347" s="113">
        <v>0</v>
      </c>
      <c r="L347" s="114"/>
      <c r="M347" s="112">
        <f>O347+N347</f>
        <v>0</v>
      </c>
      <c r="N347" s="113">
        <v>0</v>
      </c>
      <c r="O347" s="114"/>
      <c r="P347" s="112">
        <f>R347+Q347</f>
        <v>0</v>
      </c>
      <c r="Q347" s="113">
        <v>0</v>
      </c>
      <c r="R347" s="114"/>
      <c r="S347" s="112">
        <f>U347+T347</f>
        <v>0</v>
      </c>
      <c r="T347" s="113">
        <v>0</v>
      </c>
      <c r="U347" s="114"/>
      <c r="V347" s="112">
        <f>X347+W347</f>
        <v>0</v>
      </c>
      <c r="W347" s="113">
        <v>0</v>
      </c>
      <c r="X347" s="114"/>
      <c r="Y347" s="112">
        <f>AA347+Z347</f>
        <v>0</v>
      </c>
      <c r="Z347" s="113">
        <v>0</v>
      </c>
      <c r="AA347" s="114"/>
      <c r="AB347" s="112">
        <f>AD347+AC347</f>
        <v>0</v>
      </c>
      <c r="AC347" s="113">
        <v>0</v>
      </c>
      <c r="AD347" s="114"/>
      <c r="AF347" s="46">
        <f aca="true" t="shared" si="231" ref="AF347:AF410">V347-(S347+P347)</f>
        <v>0</v>
      </c>
      <c r="AG347" s="46"/>
    </row>
    <row r="348" spans="1:33" ht="12.75">
      <c r="A348" s="324"/>
      <c r="B348" s="133">
        <v>852</v>
      </c>
      <c r="C348" s="134" t="s">
        <v>147</v>
      </c>
      <c r="D348" s="75">
        <v>76783300</v>
      </c>
      <c r="E348" s="76">
        <v>76783300</v>
      </c>
      <c r="F348" s="158">
        <v>0</v>
      </c>
      <c r="G348" s="75">
        <f aca="true" t="shared" si="232" ref="G348:G356">H348+I348</f>
        <v>0</v>
      </c>
      <c r="H348" s="76">
        <f>H350+H351+H352+H349</f>
        <v>0</v>
      </c>
      <c r="I348" s="158">
        <f>I350+I351+I352+I349</f>
        <v>0</v>
      </c>
      <c r="J348" s="75">
        <f aca="true" t="shared" si="233" ref="J348:J356">K348+L348</f>
        <v>76783300</v>
      </c>
      <c r="K348" s="76">
        <f>K350+K351+K352+K349</f>
        <v>76783300</v>
      </c>
      <c r="L348" s="158">
        <f>L350+L351+L352+L349</f>
        <v>0</v>
      </c>
      <c r="M348" s="75">
        <f aca="true" t="shared" si="234" ref="M348:M356">N348+O348</f>
        <v>1127900</v>
      </c>
      <c r="N348" s="76">
        <f>N350+N351+N352+N349</f>
        <v>1127900</v>
      </c>
      <c r="O348" s="158">
        <f>O350+O351+O352+O349</f>
        <v>0</v>
      </c>
      <c r="P348" s="75">
        <f aca="true" t="shared" si="235" ref="P348:P356">Q348+R348</f>
        <v>77911200</v>
      </c>
      <c r="Q348" s="76">
        <f>Q350+Q351+Q352+Q349</f>
        <v>77911200</v>
      </c>
      <c r="R348" s="158">
        <f>R350+R351+R352+R349</f>
        <v>0</v>
      </c>
      <c r="S348" s="75">
        <f aca="true" t="shared" si="236" ref="S348:S356">T348+U348</f>
        <v>0</v>
      </c>
      <c r="T348" s="76">
        <f>T350+T351+T352+T349</f>
        <v>0</v>
      </c>
      <c r="U348" s="158">
        <f>U350+U351+U352+U349</f>
        <v>0</v>
      </c>
      <c r="V348" s="75">
        <f aca="true" t="shared" si="237" ref="V348:V356">W348+X348</f>
        <v>77911200</v>
      </c>
      <c r="W348" s="76">
        <f>W350+W351+W352+W349</f>
        <v>77911200</v>
      </c>
      <c r="X348" s="158">
        <f>X350+X351+X352+X349</f>
        <v>0</v>
      </c>
      <c r="Y348" s="75">
        <f aca="true" t="shared" si="238" ref="Y348:Y356">Z348+AA348</f>
        <v>102600</v>
      </c>
      <c r="Z348" s="76">
        <f>Z350+Z351+Z352+Z349</f>
        <v>102600</v>
      </c>
      <c r="AA348" s="158">
        <f>AA350+AA351+AA352+AA349</f>
        <v>0</v>
      </c>
      <c r="AB348" s="75">
        <f aca="true" t="shared" si="239" ref="AB348:AB356">AC348+AD348</f>
        <v>78013800</v>
      </c>
      <c r="AC348" s="76">
        <f>AC350+AC351+AC352+AC349</f>
        <v>78013800</v>
      </c>
      <c r="AD348" s="158">
        <f>AD350+AD351+AD352+AD349</f>
        <v>0</v>
      </c>
      <c r="AF348" s="46">
        <f t="shared" si="231"/>
        <v>0</v>
      </c>
      <c r="AG348" s="46"/>
    </row>
    <row r="349" spans="1:33" ht="32.25" customHeight="1">
      <c r="A349" s="324"/>
      <c r="B349" s="106">
        <v>85212</v>
      </c>
      <c r="C349" s="343" t="s">
        <v>230</v>
      </c>
      <c r="D349" s="80">
        <v>71674600</v>
      </c>
      <c r="E349" s="81">
        <v>71674600</v>
      </c>
      <c r="F349" s="82">
        <v>0</v>
      </c>
      <c r="G349" s="80">
        <f t="shared" si="232"/>
        <v>0</v>
      </c>
      <c r="H349" s="81"/>
      <c r="I349" s="82">
        <v>0</v>
      </c>
      <c r="J349" s="80">
        <f t="shared" si="233"/>
        <v>71674600</v>
      </c>
      <c r="K349" s="81">
        <f>E349+H349</f>
        <v>71674600</v>
      </c>
      <c r="L349" s="82">
        <f>I349+F349</f>
        <v>0</v>
      </c>
      <c r="M349" s="80">
        <f t="shared" si="234"/>
        <v>1111800</v>
      </c>
      <c r="N349" s="81">
        <v>1111800</v>
      </c>
      <c r="O349" s="82">
        <v>0</v>
      </c>
      <c r="P349" s="80">
        <f t="shared" si="235"/>
        <v>72786400</v>
      </c>
      <c r="Q349" s="81">
        <f>K349+N349</f>
        <v>72786400</v>
      </c>
      <c r="R349" s="82">
        <f>O349+L349</f>
        <v>0</v>
      </c>
      <c r="S349" s="80">
        <f t="shared" si="236"/>
        <v>0</v>
      </c>
      <c r="T349" s="81">
        <v>0</v>
      </c>
      <c r="U349" s="82">
        <v>0</v>
      </c>
      <c r="V349" s="80">
        <f t="shared" si="237"/>
        <v>72786400</v>
      </c>
      <c r="W349" s="81">
        <f>Q349+T349</f>
        <v>72786400</v>
      </c>
      <c r="X349" s="82">
        <f>U349+R349</f>
        <v>0</v>
      </c>
      <c r="Y349" s="80">
        <f t="shared" si="238"/>
        <v>0</v>
      </c>
      <c r="Z349" s="81">
        <v>0</v>
      </c>
      <c r="AA349" s="82">
        <v>0</v>
      </c>
      <c r="AB349" s="80">
        <f t="shared" si="239"/>
        <v>72786400</v>
      </c>
      <c r="AC349" s="81">
        <f>W349+Z349</f>
        <v>72786400</v>
      </c>
      <c r="AD349" s="82">
        <f>AA349+X349</f>
        <v>0</v>
      </c>
      <c r="AF349" s="46">
        <f t="shared" si="231"/>
        <v>0</v>
      </c>
      <c r="AG349" s="46"/>
    </row>
    <row r="350" spans="1:33" ht="33.75">
      <c r="A350" s="324"/>
      <c r="B350" s="106">
        <v>85213</v>
      </c>
      <c r="C350" s="189" t="s">
        <v>231</v>
      </c>
      <c r="D350" s="80">
        <v>712900</v>
      </c>
      <c r="E350" s="81">
        <v>712900</v>
      </c>
      <c r="F350" s="82">
        <v>0</v>
      </c>
      <c r="G350" s="80">
        <f t="shared" si="232"/>
        <v>0</v>
      </c>
      <c r="H350" s="81"/>
      <c r="I350" s="82">
        <v>0</v>
      </c>
      <c r="J350" s="80">
        <f t="shared" si="233"/>
        <v>712900</v>
      </c>
      <c r="K350" s="81">
        <f>E350+H350</f>
        <v>712900</v>
      </c>
      <c r="L350" s="82">
        <f>I350+F350</f>
        <v>0</v>
      </c>
      <c r="M350" s="80">
        <f t="shared" si="234"/>
        <v>0</v>
      </c>
      <c r="N350" s="81"/>
      <c r="O350" s="82">
        <v>0</v>
      </c>
      <c r="P350" s="80">
        <f t="shared" si="235"/>
        <v>712900</v>
      </c>
      <c r="Q350" s="81">
        <f>K350+N350</f>
        <v>712900</v>
      </c>
      <c r="R350" s="82">
        <f>O350+L350</f>
        <v>0</v>
      </c>
      <c r="S350" s="80">
        <f t="shared" si="236"/>
        <v>0</v>
      </c>
      <c r="T350" s="81"/>
      <c r="U350" s="82">
        <v>0</v>
      </c>
      <c r="V350" s="80">
        <f t="shared" si="237"/>
        <v>712900</v>
      </c>
      <c r="W350" s="81">
        <f>Q350+T350</f>
        <v>712900</v>
      </c>
      <c r="X350" s="82">
        <f>U350+R350</f>
        <v>0</v>
      </c>
      <c r="Y350" s="80">
        <f t="shared" si="238"/>
        <v>0</v>
      </c>
      <c r="Z350" s="81">
        <v>0</v>
      </c>
      <c r="AA350" s="82">
        <v>0</v>
      </c>
      <c r="AB350" s="80">
        <f t="shared" si="239"/>
        <v>712900</v>
      </c>
      <c r="AC350" s="81">
        <f>W350+Z350</f>
        <v>712900</v>
      </c>
      <c r="AD350" s="82">
        <f>AA350+X350</f>
        <v>0</v>
      </c>
      <c r="AF350" s="46">
        <f t="shared" si="231"/>
        <v>0</v>
      </c>
      <c r="AG350" s="46"/>
    </row>
    <row r="351" spans="1:33" ht="22.5">
      <c r="A351" s="324"/>
      <c r="B351" s="130">
        <v>85214</v>
      </c>
      <c r="C351" s="160" t="s">
        <v>232</v>
      </c>
      <c r="D351" s="80">
        <v>3768900</v>
      </c>
      <c r="E351" s="86">
        <v>3768900</v>
      </c>
      <c r="F351" s="82">
        <v>0</v>
      </c>
      <c r="G351" s="80">
        <f t="shared" si="232"/>
        <v>0</v>
      </c>
      <c r="H351" s="86"/>
      <c r="I351" s="82">
        <v>0</v>
      </c>
      <c r="J351" s="80">
        <f t="shared" si="233"/>
        <v>3768900</v>
      </c>
      <c r="K351" s="86">
        <f>E351+H351</f>
        <v>3768900</v>
      </c>
      <c r="L351" s="82">
        <f>I351+F351</f>
        <v>0</v>
      </c>
      <c r="M351" s="80">
        <f t="shared" si="234"/>
        <v>16100</v>
      </c>
      <c r="N351" s="86">
        <v>16100</v>
      </c>
      <c r="O351" s="82">
        <v>0</v>
      </c>
      <c r="P351" s="80">
        <f t="shared" si="235"/>
        <v>3785000</v>
      </c>
      <c r="Q351" s="86">
        <f>K351+N351</f>
        <v>3785000</v>
      </c>
      <c r="R351" s="82">
        <f>O351+L351</f>
        <v>0</v>
      </c>
      <c r="S351" s="80">
        <f t="shared" si="236"/>
        <v>0</v>
      </c>
      <c r="T351" s="86">
        <v>0</v>
      </c>
      <c r="U351" s="82">
        <v>0</v>
      </c>
      <c r="V351" s="80">
        <f t="shared" si="237"/>
        <v>3785000</v>
      </c>
      <c r="W351" s="86">
        <f>Q351+T351</f>
        <v>3785000</v>
      </c>
      <c r="X351" s="82">
        <f>U351+R351</f>
        <v>0</v>
      </c>
      <c r="Y351" s="80">
        <f t="shared" si="238"/>
        <v>0</v>
      </c>
      <c r="Z351" s="86">
        <v>0</v>
      </c>
      <c r="AA351" s="82">
        <v>0</v>
      </c>
      <c r="AB351" s="80">
        <f t="shared" si="239"/>
        <v>3785000</v>
      </c>
      <c r="AC351" s="86">
        <f>W351+Z351</f>
        <v>3785000</v>
      </c>
      <c r="AD351" s="82">
        <f>AA351+X351</f>
        <v>0</v>
      </c>
      <c r="AF351" s="46">
        <f t="shared" si="231"/>
        <v>0</v>
      </c>
      <c r="AG351" s="46"/>
    </row>
    <row r="352" spans="1:33" ht="13.5" customHeight="1">
      <c r="A352" s="324"/>
      <c r="B352" s="136">
        <v>85228</v>
      </c>
      <c r="C352" s="137" t="s">
        <v>233</v>
      </c>
      <c r="D352" s="80">
        <v>626900</v>
      </c>
      <c r="E352" s="138">
        <v>626900</v>
      </c>
      <c r="F352" s="82">
        <v>0</v>
      </c>
      <c r="G352" s="80">
        <f t="shared" si="232"/>
        <v>0</v>
      </c>
      <c r="H352" s="138"/>
      <c r="I352" s="82">
        <v>0</v>
      </c>
      <c r="J352" s="80">
        <f t="shared" si="233"/>
        <v>626900</v>
      </c>
      <c r="K352" s="138">
        <f>E352+H352</f>
        <v>626900</v>
      </c>
      <c r="L352" s="82">
        <f>I352+F352</f>
        <v>0</v>
      </c>
      <c r="M352" s="80">
        <f t="shared" si="234"/>
        <v>0</v>
      </c>
      <c r="N352" s="138"/>
      <c r="O352" s="82">
        <v>0</v>
      </c>
      <c r="P352" s="80">
        <f t="shared" si="235"/>
        <v>626900</v>
      </c>
      <c r="Q352" s="138">
        <f>K352+N352</f>
        <v>626900</v>
      </c>
      <c r="R352" s="82">
        <f>O352+L352</f>
        <v>0</v>
      </c>
      <c r="S352" s="80">
        <f t="shared" si="236"/>
        <v>0</v>
      </c>
      <c r="T352" s="138"/>
      <c r="U352" s="82">
        <v>0</v>
      </c>
      <c r="V352" s="80">
        <f t="shared" si="237"/>
        <v>626900</v>
      </c>
      <c r="W352" s="138">
        <f>Q352+T352</f>
        <v>626900</v>
      </c>
      <c r="X352" s="82">
        <f>U352+R352</f>
        <v>0</v>
      </c>
      <c r="Y352" s="80">
        <f t="shared" si="238"/>
        <v>102600</v>
      </c>
      <c r="Z352" s="138">
        <v>102600</v>
      </c>
      <c r="AA352" s="82">
        <v>0</v>
      </c>
      <c r="AB352" s="80">
        <f t="shared" si="239"/>
        <v>729500</v>
      </c>
      <c r="AC352" s="138">
        <f>W352+Z352</f>
        <v>729500</v>
      </c>
      <c r="AD352" s="82">
        <f>AA352+X352</f>
        <v>0</v>
      </c>
      <c r="AF352" s="46">
        <f t="shared" si="231"/>
        <v>0</v>
      </c>
      <c r="AG352" s="46"/>
    </row>
    <row r="353" spans="1:33" ht="12.75" customHeight="1" hidden="1">
      <c r="A353" s="324"/>
      <c r="B353" s="344">
        <v>853</v>
      </c>
      <c r="C353" s="345" t="s">
        <v>167</v>
      </c>
      <c r="D353" s="346">
        <v>0</v>
      </c>
      <c r="E353" s="347">
        <v>0</v>
      </c>
      <c r="F353" s="348">
        <v>0</v>
      </c>
      <c r="G353" s="346">
        <f t="shared" si="232"/>
        <v>0</v>
      </c>
      <c r="H353" s="347">
        <f>H354</f>
        <v>0</v>
      </c>
      <c r="I353" s="348">
        <f>I354</f>
        <v>0</v>
      </c>
      <c r="J353" s="346">
        <f t="shared" si="233"/>
        <v>0</v>
      </c>
      <c r="K353" s="347">
        <f>K354</f>
        <v>0</v>
      </c>
      <c r="L353" s="348">
        <f>L354</f>
        <v>0</v>
      </c>
      <c r="M353" s="346">
        <f t="shared" si="234"/>
        <v>0</v>
      </c>
      <c r="N353" s="347">
        <f>N354</f>
        <v>0</v>
      </c>
      <c r="O353" s="348">
        <f>O354</f>
        <v>0</v>
      </c>
      <c r="P353" s="346">
        <f t="shared" si="235"/>
        <v>0</v>
      </c>
      <c r="Q353" s="347">
        <f>Q354</f>
        <v>0</v>
      </c>
      <c r="R353" s="348">
        <f>R354</f>
        <v>0</v>
      </c>
      <c r="S353" s="346">
        <f t="shared" si="236"/>
        <v>0</v>
      </c>
      <c r="T353" s="347">
        <f>T354</f>
        <v>0</v>
      </c>
      <c r="U353" s="348">
        <f>U354</f>
        <v>0</v>
      </c>
      <c r="V353" s="346">
        <f t="shared" si="237"/>
        <v>0</v>
      </c>
      <c r="W353" s="347">
        <f>W354</f>
        <v>0</v>
      </c>
      <c r="X353" s="348">
        <f>X354</f>
        <v>0</v>
      </c>
      <c r="Y353" s="346">
        <f t="shared" si="238"/>
        <v>0</v>
      </c>
      <c r="Z353" s="347">
        <f>Z354</f>
        <v>0</v>
      </c>
      <c r="AA353" s="348">
        <f>AA354</f>
        <v>0</v>
      </c>
      <c r="AB353" s="346">
        <f t="shared" si="239"/>
        <v>0</v>
      </c>
      <c r="AC353" s="347">
        <f>AC354</f>
        <v>0</v>
      </c>
      <c r="AD353" s="348">
        <f>AD354</f>
        <v>0</v>
      </c>
      <c r="AF353" s="46">
        <f t="shared" si="231"/>
        <v>0</v>
      </c>
      <c r="AG353" s="46"/>
    </row>
    <row r="354" spans="1:33" ht="13.5" customHeight="1" hidden="1">
      <c r="A354" s="324"/>
      <c r="B354" s="108">
        <v>85395</v>
      </c>
      <c r="C354" s="90" t="s">
        <v>29</v>
      </c>
      <c r="D354" s="91">
        <v>0</v>
      </c>
      <c r="E354" s="92">
        <v>0</v>
      </c>
      <c r="F354" s="93">
        <v>0</v>
      </c>
      <c r="G354" s="91">
        <f t="shared" si="232"/>
        <v>0</v>
      </c>
      <c r="H354" s="92">
        <v>0</v>
      </c>
      <c r="I354" s="93">
        <v>0</v>
      </c>
      <c r="J354" s="91">
        <f t="shared" si="233"/>
        <v>0</v>
      </c>
      <c r="K354" s="92">
        <v>0</v>
      </c>
      <c r="L354" s="93">
        <v>0</v>
      </c>
      <c r="M354" s="91">
        <f t="shared" si="234"/>
        <v>0</v>
      </c>
      <c r="N354" s="92">
        <v>0</v>
      </c>
      <c r="O354" s="93">
        <v>0</v>
      </c>
      <c r="P354" s="91">
        <f t="shared" si="235"/>
        <v>0</v>
      </c>
      <c r="Q354" s="92">
        <v>0</v>
      </c>
      <c r="R354" s="93">
        <v>0</v>
      </c>
      <c r="S354" s="91">
        <f t="shared" si="236"/>
        <v>0</v>
      </c>
      <c r="T354" s="92">
        <v>0</v>
      </c>
      <c r="U354" s="93">
        <v>0</v>
      </c>
      <c r="V354" s="91">
        <f t="shared" si="237"/>
        <v>0</v>
      </c>
      <c r="W354" s="92">
        <v>0</v>
      </c>
      <c r="X354" s="93">
        <v>0</v>
      </c>
      <c r="Y354" s="91">
        <f t="shared" si="238"/>
        <v>0</v>
      </c>
      <c r="Z354" s="92">
        <v>0</v>
      </c>
      <c r="AA354" s="93">
        <v>0</v>
      </c>
      <c r="AB354" s="91">
        <f t="shared" si="239"/>
        <v>0</v>
      </c>
      <c r="AC354" s="92">
        <v>0</v>
      </c>
      <c r="AD354" s="93">
        <v>0</v>
      </c>
      <c r="AF354" s="46">
        <f t="shared" si="231"/>
        <v>0</v>
      </c>
      <c r="AG354" s="46"/>
    </row>
    <row r="355" spans="1:33" ht="12.75" customHeight="1" hidden="1">
      <c r="A355" s="324"/>
      <c r="B355" s="344">
        <v>900</v>
      </c>
      <c r="C355" s="345" t="s">
        <v>176</v>
      </c>
      <c r="D355" s="346">
        <v>0</v>
      </c>
      <c r="E355" s="347">
        <v>0</v>
      </c>
      <c r="F355" s="348">
        <v>0</v>
      </c>
      <c r="G355" s="346">
        <f t="shared" si="232"/>
        <v>0</v>
      </c>
      <c r="H355" s="347">
        <f>H356</f>
        <v>0</v>
      </c>
      <c r="I355" s="348">
        <f>I356</f>
        <v>0</v>
      </c>
      <c r="J355" s="346">
        <f t="shared" si="233"/>
        <v>0</v>
      </c>
      <c r="K355" s="347">
        <f>K356</f>
        <v>0</v>
      </c>
      <c r="L355" s="348">
        <f>L356</f>
        <v>0</v>
      </c>
      <c r="M355" s="346">
        <f t="shared" si="234"/>
        <v>0</v>
      </c>
      <c r="N355" s="347">
        <f>N356</f>
        <v>0</v>
      </c>
      <c r="O355" s="348">
        <f>O356</f>
        <v>0</v>
      </c>
      <c r="P355" s="346">
        <f t="shared" si="235"/>
        <v>0</v>
      </c>
      <c r="Q355" s="347">
        <f>Q356</f>
        <v>0</v>
      </c>
      <c r="R355" s="348">
        <f>R356</f>
        <v>0</v>
      </c>
      <c r="S355" s="346">
        <f t="shared" si="236"/>
        <v>0</v>
      </c>
      <c r="T355" s="347">
        <f>T356</f>
        <v>0</v>
      </c>
      <c r="U355" s="348">
        <f>U356</f>
        <v>0</v>
      </c>
      <c r="V355" s="346">
        <f t="shared" si="237"/>
        <v>0</v>
      </c>
      <c r="W355" s="347">
        <f>W356</f>
        <v>0</v>
      </c>
      <c r="X355" s="348">
        <f>X356</f>
        <v>0</v>
      </c>
      <c r="Y355" s="346">
        <f t="shared" si="238"/>
        <v>0</v>
      </c>
      <c r="Z355" s="347">
        <f>Z356</f>
        <v>0</v>
      </c>
      <c r="AA355" s="348">
        <f>AA356</f>
        <v>0</v>
      </c>
      <c r="AB355" s="346">
        <f t="shared" si="239"/>
        <v>0</v>
      </c>
      <c r="AC355" s="347">
        <f>AC356</f>
        <v>0</v>
      </c>
      <c r="AD355" s="348">
        <f>AD356</f>
        <v>0</v>
      </c>
      <c r="AF355" s="46">
        <f t="shared" si="231"/>
        <v>0</v>
      </c>
      <c r="AG355" s="46"/>
    </row>
    <row r="356" spans="1:33" ht="12.75" customHeight="1" hidden="1">
      <c r="A356" s="324"/>
      <c r="B356" s="108">
        <v>90015</v>
      </c>
      <c r="C356" s="90" t="s">
        <v>187</v>
      </c>
      <c r="D356" s="91">
        <v>0</v>
      </c>
      <c r="E356" s="92">
        <v>0</v>
      </c>
      <c r="F356" s="93">
        <v>0</v>
      </c>
      <c r="G356" s="91">
        <f t="shared" si="232"/>
        <v>0</v>
      </c>
      <c r="H356" s="92">
        <v>0</v>
      </c>
      <c r="I356" s="93">
        <v>0</v>
      </c>
      <c r="J356" s="91">
        <f t="shared" si="233"/>
        <v>0</v>
      </c>
      <c r="K356" s="92">
        <v>0</v>
      </c>
      <c r="L356" s="93">
        <v>0</v>
      </c>
      <c r="M356" s="91">
        <f t="shared" si="234"/>
        <v>0</v>
      </c>
      <c r="N356" s="92">
        <v>0</v>
      </c>
      <c r="O356" s="93">
        <v>0</v>
      </c>
      <c r="P356" s="91">
        <f t="shared" si="235"/>
        <v>0</v>
      </c>
      <c r="Q356" s="92">
        <v>0</v>
      </c>
      <c r="R356" s="93">
        <v>0</v>
      </c>
      <c r="S356" s="91">
        <f t="shared" si="236"/>
        <v>0</v>
      </c>
      <c r="T356" s="92">
        <v>0</v>
      </c>
      <c r="U356" s="93">
        <v>0</v>
      </c>
      <c r="V356" s="91">
        <f t="shared" si="237"/>
        <v>0</v>
      </c>
      <c r="W356" s="92">
        <v>0</v>
      </c>
      <c r="X356" s="93">
        <v>0</v>
      </c>
      <c r="Y356" s="91">
        <f t="shared" si="238"/>
        <v>0</v>
      </c>
      <c r="Z356" s="92">
        <v>0</v>
      </c>
      <c r="AA356" s="93">
        <v>0</v>
      </c>
      <c r="AB356" s="91">
        <f t="shared" si="239"/>
        <v>0</v>
      </c>
      <c r="AC356" s="92">
        <v>0</v>
      </c>
      <c r="AD356" s="93">
        <v>0</v>
      </c>
      <c r="AF356" s="46">
        <f t="shared" si="231"/>
        <v>0</v>
      </c>
      <c r="AG356" s="46"/>
    </row>
    <row r="357" spans="1:33" ht="9.75" customHeight="1">
      <c r="A357" s="324"/>
      <c r="B357" s="108"/>
      <c r="C357" s="90"/>
      <c r="D357" s="91"/>
      <c r="E357" s="92"/>
      <c r="F357" s="93"/>
      <c r="G357" s="91"/>
      <c r="H357" s="92"/>
      <c r="I357" s="93"/>
      <c r="J357" s="91"/>
      <c r="K357" s="92"/>
      <c r="L357" s="93"/>
      <c r="M357" s="91"/>
      <c r="N357" s="92"/>
      <c r="O357" s="93"/>
      <c r="P357" s="91"/>
      <c r="Q357" s="92"/>
      <c r="R357" s="93"/>
      <c r="S357" s="91"/>
      <c r="T357" s="92"/>
      <c r="U357" s="93"/>
      <c r="V357" s="91"/>
      <c r="W357" s="92"/>
      <c r="X357" s="93"/>
      <c r="Y357" s="91"/>
      <c r="Z357" s="92"/>
      <c r="AA357" s="93"/>
      <c r="AB357" s="91"/>
      <c r="AC357" s="92"/>
      <c r="AD357" s="93"/>
      <c r="AF357" s="46">
        <f t="shared" si="231"/>
        <v>0</v>
      </c>
      <c r="AG357" s="46"/>
    </row>
    <row r="358" spans="1:33" s="336" customFormat="1" ht="21">
      <c r="A358" s="330"/>
      <c r="B358" s="331"/>
      <c r="C358" s="349" t="s">
        <v>234</v>
      </c>
      <c r="D358" s="333">
        <v>0</v>
      </c>
      <c r="E358" s="334">
        <v>0</v>
      </c>
      <c r="F358" s="335">
        <v>0</v>
      </c>
      <c r="G358" s="333">
        <f aca="true" t="shared" si="240" ref="G358:X358">G360+G366</f>
        <v>0</v>
      </c>
      <c r="H358" s="334">
        <f t="shared" si="240"/>
        <v>0</v>
      </c>
      <c r="I358" s="335">
        <f t="shared" si="240"/>
        <v>0</v>
      </c>
      <c r="J358" s="333">
        <f t="shared" si="240"/>
        <v>0</v>
      </c>
      <c r="K358" s="334">
        <f t="shared" si="240"/>
        <v>0</v>
      </c>
      <c r="L358" s="335">
        <f t="shared" si="240"/>
        <v>0</v>
      </c>
      <c r="M358" s="333">
        <f t="shared" si="240"/>
        <v>0</v>
      </c>
      <c r="N358" s="334">
        <f t="shared" si="240"/>
        <v>0</v>
      </c>
      <c r="O358" s="335">
        <f t="shared" si="240"/>
        <v>0</v>
      </c>
      <c r="P358" s="333">
        <f t="shared" si="240"/>
        <v>0</v>
      </c>
      <c r="Q358" s="334">
        <f t="shared" si="240"/>
        <v>0</v>
      </c>
      <c r="R358" s="335">
        <f t="shared" si="240"/>
        <v>0</v>
      </c>
      <c r="S358" s="333">
        <f t="shared" si="240"/>
        <v>0</v>
      </c>
      <c r="T358" s="334">
        <f t="shared" si="240"/>
        <v>0</v>
      </c>
      <c r="U358" s="335">
        <f t="shared" si="240"/>
        <v>0</v>
      </c>
      <c r="V358" s="333">
        <f t="shared" si="240"/>
        <v>0</v>
      </c>
      <c r="W358" s="334">
        <f t="shared" si="240"/>
        <v>0</v>
      </c>
      <c r="X358" s="335">
        <f t="shared" si="240"/>
        <v>0</v>
      </c>
      <c r="Y358" s="333">
        <f aca="true" t="shared" si="241" ref="Y358:AD358">Y360+Y366</f>
        <v>235000</v>
      </c>
      <c r="Z358" s="334">
        <f t="shared" si="241"/>
        <v>235000</v>
      </c>
      <c r="AA358" s="335">
        <f t="shared" si="241"/>
        <v>0</v>
      </c>
      <c r="AB358" s="333">
        <f t="shared" si="241"/>
        <v>235000</v>
      </c>
      <c r="AC358" s="334">
        <f t="shared" si="241"/>
        <v>235000</v>
      </c>
      <c r="AD358" s="335">
        <f t="shared" si="241"/>
        <v>0</v>
      </c>
      <c r="AF358" s="46">
        <f t="shared" si="231"/>
        <v>0</v>
      </c>
      <c r="AG358" s="46"/>
    </row>
    <row r="359" spans="1:33" s="336" customFormat="1" ht="9.75" customHeight="1">
      <c r="A359" s="330"/>
      <c r="B359" s="331"/>
      <c r="C359" s="349"/>
      <c r="D359" s="333"/>
      <c r="E359" s="334"/>
      <c r="F359" s="335"/>
      <c r="G359" s="333"/>
      <c r="H359" s="334"/>
      <c r="I359" s="335"/>
      <c r="J359" s="333"/>
      <c r="K359" s="334"/>
      <c r="L359" s="335"/>
      <c r="M359" s="333"/>
      <c r="N359" s="334"/>
      <c r="O359" s="335"/>
      <c r="P359" s="333"/>
      <c r="Q359" s="334"/>
      <c r="R359" s="335"/>
      <c r="S359" s="333"/>
      <c r="T359" s="334"/>
      <c r="U359" s="335"/>
      <c r="V359" s="333"/>
      <c r="W359" s="334"/>
      <c r="X359" s="335"/>
      <c r="Y359" s="333"/>
      <c r="Z359" s="334"/>
      <c r="AA359" s="335"/>
      <c r="AB359" s="333"/>
      <c r="AC359" s="334"/>
      <c r="AD359" s="335"/>
      <c r="AF359" s="46">
        <f t="shared" si="231"/>
        <v>0</v>
      </c>
      <c r="AG359" s="46"/>
    </row>
    <row r="360" spans="1:33" ht="12.75" customHeight="1">
      <c r="A360" s="324"/>
      <c r="B360" s="101">
        <v>710</v>
      </c>
      <c r="C360" s="149" t="s">
        <v>56</v>
      </c>
      <c r="D360" s="103">
        <v>0</v>
      </c>
      <c r="E360" s="104">
        <v>0</v>
      </c>
      <c r="F360" s="171">
        <v>0</v>
      </c>
      <c r="G360" s="103">
        <f>H360+I360</f>
        <v>0</v>
      </c>
      <c r="H360" s="104">
        <f>H361</f>
        <v>0</v>
      </c>
      <c r="I360" s="171">
        <f>I361</f>
        <v>0</v>
      </c>
      <c r="J360" s="103">
        <f>K360+L360</f>
        <v>0</v>
      </c>
      <c r="K360" s="104">
        <f>K361</f>
        <v>0</v>
      </c>
      <c r="L360" s="171">
        <f>L361</f>
        <v>0</v>
      </c>
      <c r="M360" s="103">
        <f>N360+O360</f>
        <v>0</v>
      </c>
      <c r="N360" s="104">
        <f>N361</f>
        <v>0</v>
      </c>
      <c r="O360" s="171">
        <f>O361</f>
        <v>0</v>
      </c>
      <c r="P360" s="103">
        <f>Q360+R360</f>
        <v>0</v>
      </c>
      <c r="Q360" s="104">
        <f>Q361</f>
        <v>0</v>
      </c>
      <c r="R360" s="171">
        <f>R361</f>
        <v>0</v>
      </c>
      <c r="S360" s="103">
        <f>T360+U360</f>
        <v>0</v>
      </c>
      <c r="T360" s="104">
        <f>T361</f>
        <v>0</v>
      </c>
      <c r="U360" s="171">
        <f>U361</f>
        <v>0</v>
      </c>
      <c r="V360" s="103">
        <f>W360+X360</f>
        <v>0</v>
      </c>
      <c r="W360" s="104">
        <f>W361</f>
        <v>0</v>
      </c>
      <c r="X360" s="171">
        <f>X361</f>
        <v>0</v>
      </c>
      <c r="Y360" s="103">
        <f>Z360+AA360</f>
        <v>235000</v>
      </c>
      <c r="Z360" s="104">
        <f>Z361</f>
        <v>235000</v>
      </c>
      <c r="AA360" s="171">
        <f>AA361</f>
        <v>0</v>
      </c>
      <c r="AB360" s="103">
        <f>AC360+AD360</f>
        <v>235000</v>
      </c>
      <c r="AC360" s="104">
        <f>AC361</f>
        <v>235000</v>
      </c>
      <c r="AD360" s="171">
        <f>AD361</f>
        <v>0</v>
      </c>
      <c r="AF360" s="46">
        <f t="shared" si="231"/>
        <v>0</v>
      </c>
      <c r="AG360" s="46"/>
    </row>
    <row r="361" spans="1:33" ht="12.75" customHeight="1">
      <c r="A361" s="324"/>
      <c r="B361" s="106">
        <v>71035</v>
      </c>
      <c r="C361" s="83" t="s">
        <v>235</v>
      </c>
      <c r="D361" s="80">
        <v>0</v>
      </c>
      <c r="E361" s="138"/>
      <c r="F361" s="82"/>
      <c r="G361" s="80">
        <f>H361+I361</f>
        <v>0</v>
      </c>
      <c r="H361" s="138"/>
      <c r="I361" s="82"/>
      <c r="J361" s="80">
        <f>K361+L361</f>
        <v>0</v>
      </c>
      <c r="K361" s="138"/>
      <c r="L361" s="82"/>
      <c r="M361" s="80">
        <f>N361+O361</f>
        <v>0</v>
      </c>
      <c r="N361" s="138"/>
      <c r="O361" s="82"/>
      <c r="P361" s="80">
        <f>Q361+R361</f>
        <v>0</v>
      </c>
      <c r="Q361" s="138"/>
      <c r="R361" s="82"/>
      <c r="S361" s="80">
        <f>T361+U361</f>
        <v>0</v>
      </c>
      <c r="T361" s="138"/>
      <c r="U361" s="82"/>
      <c r="V361" s="80">
        <f>W361+X361</f>
        <v>0</v>
      </c>
      <c r="W361" s="138"/>
      <c r="X361" s="82"/>
      <c r="Y361" s="80">
        <f>Z361+AA361</f>
        <v>235000</v>
      </c>
      <c r="Z361" s="138">
        <f>175000+60000</f>
        <v>235000</v>
      </c>
      <c r="AA361" s="82"/>
      <c r="AB361" s="80">
        <f>AC361+AD361</f>
        <v>235000</v>
      </c>
      <c r="AC361" s="81">
        <f>W361+Z361</f>
        <v>235000</v>
      </c>
      <c r="AD361" s="82">
        <f>AA361+X361</f>
        <v>0</v>
      </c>
      <c r="AF361" s="46">
        <f t="shared" si="231"/>
        <v>0</v>
      </c>
      <c r="AG361" s="46"/>
    </row>
    <row r="362" spans="1:33" ht="12.75" customHeight="1">
      <c r="A362" s="324"/>
      <c r="B362" s="344">
        <v>921</v>
      </c>
      <c r="C362" s="345" t="s">
        <v>189</v>
      </c>
      <c r="D362" s="346">
        <v>0</v>
      </c>
      <c r="E362" s="347">
        <v>0</v>
      </c>
      <c r="F362" s="348">
        <v>0</v>
      </c>
      <c r="G362" s="346">
        <f>H362+I362</f>
        <v>0</v>
      </c>
      <c r="H362" s="347">
        <f>H363</f>
        <v>0</v>
      </c>
      <c r="I362" s="348">
        <f>I363</f>
        <v>0</v>
      </c>
      <c r="J362" s="346">
        <f>K362+L362</f>
        <v>0</v>
      </c>
      <c r="K362" s="347">
        <f>K363</f>
        <v>0</v>
      </c>
      <c r="L362" s="348">
        <f>L363</f>
        <v>0</v>
      </c>
      <c r="M362" s="346">
        <f>N362+O362</f>
        <v>0</v>
      </c>
      <c r="N362" s="347">
        <f>N363</f>
        <v>0</v>
      </c>
      <c r="O362" s="348">
        <f>O363</f>
        <v>0</v>
      </c>
      <c r="P362" s="346">
        <f>Q362+R362</f>
        <v>0</v>
      </c>
      <c r="Q362" s="347">
        <f>Q363</f>
        <v>0</v>
      </c>
      <c r="R362" s="348">
        <f>R363</f>
        <v>0</v>
      </c>
      <c r="S362" s="346">
        <f>T362+U362</f>
        <v>0</v>
      </c>
      <c r="T362" s="347">
        <f>T363</f>
        <v>0</v>
      </c>
      <c r="U362" s="348">
        <f>U363</f>
        <v>0</v>
      </c>
      <c r="V362" s="346">
        <f>W362+X362</f>
        <v>0</v>
      </c>
      <c r="W362" s="347">
        <f>W363</f>
        <v>0</v>
      </c>
      <c r="X362" s="348">
        <f>X363</f>
        <v>0</v>
      </c>
      <c r="Y362" s="346">
        <f>Z362+AA362</f>
        <v>0</v>
      </c>
      <c r="Z362" s="347">
        <f>Z363</f>
        <v>0</v>
      </c>
      <c r="AA362" s="348">
        <f>AA363</f>
        <v>0</v>
      </c>
      <c r="AB362" s="346">
        <f>AC362+AD362</f>
        <v>0</v>
      </c>
      <c r="AC362" s="347">
        <f>AC363</f>
        <v>0</v>
      </c>
      <c r="AD362" s="348">
        <f>AD363</f>
        <v>0</v>
      </c>
      <c r="AF362" s="46">
        <f t="shared" si="231"/>
        <v>0</v>
      </c>
      <c r="AG362" s="46"/>
    </row>
    <row r="363" spans="1:33" ht="12.75" customHeight="1">
      <c r="A363" s="324"/>
      <c r="B363" s="108">
        <v>92113</v>
      </c>
      <c r="C363" s="90" t="s">
        <v>236</v>
      </c>
      <c r="D363" s="91">
        <v>0</v>
      </c>
      <c r="E363" s="92">
        <v>0</v>
      </c>
      <c r="F363" s="93"/>
      <c r="G363" s="91">
        <f>H363+I363</f>
        <v>0</v>
      </c>
      <c r="H363" s="92">
        <f>H364</f>
        <v>0</v>
      </c>
      <c r="I363" s="93"/>
      <c r="J363" s="91">
        <f>K363+L363</f>
        <v>0</v>
      </c>
      <c r="K363" s="92">
        <f>K364</f>
        <v>0</v>
      </c>
      <c r="L363" s="93"/>
      <c r="M363" s="91">
        <f>N363+O363</f>
        <v>0</v>
      </c>
      <c r="N363" s="92">
        <f>N364</f>
        <v>0</v>
      </c>
      <c r="O363" s="93"/>
      <c r="P363" s="91">
        <f>Q363+R363</f>
        <v>0</v>
      </c>
      <c r="Q363" s="92">
        <f>Q364</f>
        <v>0</v>
      </c>
      <c r="R363" s="93"/>
      <c r="S363" s="91">
        <f>T363+U363</f>
        <v>0</v>
      </c>
      <c r="T363" s="92">
        <f>T364</f>
        <v>0</v>
      </c>
      <c r="U363" s="93"/>
      <c r="V363" s="91">
        <f>W363+X363</f>
        <v>0</v>
      </c>
      <c r="W363" s="92">
        <f>W364</f>
        <v>0</v>
      </c>
      <c r="X363" s="93"/>
      <c r="Y363" s="91">
        <f>Z363+AA363</f>
        <v>0</v>
      </c>
      <c r="Z363" s="92">
        <f>Z364</f>
        <v>0</v>
      </c>
      <c r="AA363" s="93"/>
      <c r="AB363" s="91">
        <f>AC363+AD363</f>
        <v>0</v>
      </c>
      <c r="AC363" s="92">
        <f>AC364</f>
        <v>0</v>
      </c>
      <c r="AD363" s="93"/>
      <c r="AF363" s="46">
        <f t="shared" si="231"/>
        <v>0</v>
      </c>
      <c r="AG363" s="46"/>
    </row>
    <row r="364" spans="1:33" ht="12.75" customHeight="1">
      <c r="A364" s="324"/>
      <c r="B364" s="108"/>
      <c r="C364" s="90" t="s">
        <v>237</v>
      </c>
      <c r="D364" s="91"/>
      <c r="E364" s="92"/>
      <c r="F364" s="93"/>
      <c r="G364" s="91"/>
      <c r="H364" s="92"/>
      <c r="I364" s="93"/>
      <c r="J364" s="91"/>
      <c r="K364" s="92"/>
      <c r="L364" s="93"/>
      <c r="M364" s="91"/>
      <c r="N364" s="92"/>
      <c r="O364" s="93"/>
      <c r="P364" s="91"/>
      <c r="Q364" s="92"/>
      <c r="R364" s="93"/>
      <c r="S364" s="91"/>
      <c r="T364" s="92"/>
      <c r="U364" s="93"/>
      <c r="V364" s="91"/>
      <c r="W364" s="92"/>
      <c r="X364" s="93"/>
      <c r="Y364" s="91"/>
      <c r="Z364" s="92"/>
      <c r="AA364" s="93"/>
      <c r="AB364" s="91"/>
      <c r="AC364" s="92"/>
      <c r="AD364" s="93"/>
      <c r="AF364" s="46">
        <f t="shared" si="231"/>
        <v>0</v>
      </c>
      <c r="AG364" s="46"/>
    </row>
    <row r="365" spans="1:33" ht="13.5" customHeight="1" thickBot="1">
      <c r="A365" s="324"/>
      <c r="B365" s="442"/>
      <c r="C365" s="443" t="s">
        <v>238</v>
      </c>
      <c r="D365" s="447">
        <v>0</v>
      </c>
      <c r="E365" s="445"/>
      <c r="F365" s="448"/>
      <c r="G365" s="447">
        <f>H365+I365</f>
        <v>0</v>
      </c>
      <c r="H365" s="445"/>
      <c r="I365" s="448"/>
      <c r="J365" s="447">
        <f>K365+L365</f>
        <v>0</v>
      </c>
      <c r="K365" s="445"/>
      <c r="L365" s="448"/>
      <c r="M365" s="447">
        <f>N365+O365</f>
        <v>0</v>
      </c>
      <c r="N365" s="445"/>
      <c r="O365" s="448"/>
      <c r="P365" s="447">
        <f>Q365+R365</f>
        <v>0</v>
      </c>
      <c r="Q365" s="445"/>
      <c r="R365" s="448"/>
      <c r="S365" s="447">
        <f>T365+U365</f>
        <v>0</v>
      </c>
      <c r="T365" s="445"/>
      <c r="U365" s="448"/>
      <c r="V365" s="447">
        <f>W365+X365</f>
        <v>0</v>
      </c>
      <c r="W365" s="445"/>
      <c r="X365" s="448"/>
      <c r="Y365" s="447">
        <f>Z365+AA365</f>
        <v>0</v>
      </c>
      <c r="Z365" s="445"/>
      <c r="AA365" s="448"/>
      <c r="AB365" s="447">
        <f>AC365+AD365</f>
        <v>0</v>
      </c>
      <c r="AC365" s="445"/>
      <c r="AD365" s="448"/>
      <c r="AF365" s="46">
        <f t="shared" si="231"/>
        <v>0</v>
      </c>
      <c r="AG365" s="46"/>
    </row>
    <row r="366" spans="1:33" ht="12.75" customHeight="1">
      <c r="A366" s="324"/>
      <c r="B366" s="344">
        <v>921</v>
      </c>
      <c r="C366" s="345" t="s">
        <v>189</v>
      </c>
      <c r="D366" s="346">
        <v>0</v>
      </c>
      <c r="E366" s="347">
        <v>0</v>
      </c>
      <c r="F366" s="348">
        <v>0</v>
      </c>
      <c r="G366" s="346">
        <f aca="true" t="shared" si="242" ref="G366:AD366">G367</f>
        <v>0</v>
      </c>
      <c r="H366" s="347">
        <f t="shared" si="242"/>
        <v>0</v>
      </c>
      <c r="I366" s="348">
        <f t="shared" si="242"/>
        <v>0</v>
      </c>
      <c r="J366" s="346">
        <f t="shared" si="242"/>
        <v>0</v>
      </c>
      <c r="K366" s="347">
        <f t="shared" si="242"/>
        <v>0</v>
      </c>
      <c r="L366" s="348">
        <f t="shared" si="242"/>
        <v>0</v>
      </c>
      <c r="M366" s="346">
        <f t="shared" si="242"/>
        <v>0</v>
      </c>
      <c r="N366" s="347">
        <f t="shared" si="242"/>
        <v>0</v>
      </c>
      <c r="O366" s="348">
        <f t="shared" si="242"/>
        <v>0</v>
      </c>
      <c r="P366" s="346">
        <f t="shared" si="242"/>
        <v>0</v>
      </c>
      <c r="Q366" s="347">
        <f t="shared" si="242"/>
        <v>0</v>
      </c>
      <c r="R366" s="348">
        <f t="shared" si="242"/>
        <v>0</v>
      </c>
      <c r="S366" s="346">
        <f t="shared" si="242"/>
        <v>0</v>
      </c>
      <c r="T366" s="347">
        <f t="shared" si="242"/>
        <v>0</v>
      </c>
      <c r="U366" s="348">
        <f t="shared" si="242"/>
        <v>0</v>
      </c>
      <c r="V366" s="346">
        <f t="shared" si="242"/>
        <v>0</v>
      </c>
      <c r="W366" s="347">
        <f t="shared" si="242"/>
        <v>0</v>
      </c>
      <c r="X366" s="348">
        <f t="shared" si="242"/>
        <v>0</v>
      </c>
      <c r="Y366" s="346">
        <f t="shared" si="242"/>
        <v>0</v>
      </c>
      <c r="Z366" s="347">
        <f t="shared" si="242"/>
        <v>0</v>
      </c>
      <c r="AA366" s="348">
        <f t="shared" si="242"/>
        <v>0</v>
      </c>
      <c r="AB366" s="346">
        <f t="shared" si="242"/>
        <v>0</v>
      </c>
      <c r="AC366" s="347">
        <f t="shared" si="242"/>
        <v>0</v>
      </c>
      <c r="AD366" s="348">
        <f t="shared" si="242"/>
        <v>0</v>
      </c>
      <c r="AF366" s="46">
        <f t="shared" si="231"/>
        <v>0</v>
      </c>
      <c r="AG366" s="46"/>
    </row>
    <row r="367" spans="1:33" ht="12.75" customHeight="1">
      <c r="A367" s="324"/>
      <c r="B367" s="108">
        <v>92116</v>
      </c>
      <c r="C367" s="90" t="s">
        <v>200</v>
      </c>
      <c r="D367" s="91">
        <v>0</v>
      </c>
      <c r="E367" s="92">
        <v>0</v>
      </c>
      <c r="F367" s="93">
        <v>0</v>
      </c>
      <c r="G367" s="91">
        <f>H367</f>
        <v>0</v>
      </c>
      <c r="H367" s="92">
        <f>H368</f>
        <v>0</v>
      </c>
      <c r="I367" s="93">
        <f>I368</f>
        <v>0</v>
      </c>
      <c r="J367" s="91">
        <f>K367</f>
        <v>0</v>
      </c>
      <c r="K367" s="92">
        <f>K368</f>
        <v>0</v>
      </c>
      <c r="L367" s="93">
        <f>L368</f>
        <v>0</v>
      </c>
      <c r="M367" s="91">
        <f>N367</f>
        <v>0</v>
      </c>
      <c r="N367" s="92">
        <f>N368</f>
        <v>0</v>
      </c>
      <c r="O367" s="93">
        <f>O368</f>
        <v>0</v>
      </c>
      <c r="P367" s="91">
        <f>Q367</f>
        <v>0</v>
      </c>
      <c r="Q367" s="92">
        <f>Q368</f>
        <v>0</v>
      </c>
      <c r="R367" s="93">
        <f>R368</f>
        <v>0</v>
      </c>
      <c r="S367" s="91">
        <f>T367</f>
        <v>0</v>
      </c>
      <c r="T367" s="92">
        <f>T368</f>
        <v>0</v>
      </c>
      <c r="U367" s="93">
        <f>U368</f>
        <v>0</v>
      </c>
      <c r="V367" s="91">
        <f>W367</f>
        <v>0</v>
      </c>
      <c r="W367" s="92">
        <f>W368</f>
        <v>0</v>
      </c>
      <c r="X367" s="93">
        <f>X368</f>
        <v>0</v>
      </c>
      <c r="Y367" s="91">
        <f>Z367</f>
        <v>0</v>
      </c>
      <c r="Z367" s="92">
        <f>Z368</f>
        <v>0</v>
      </c>
      <c r="AA367" s="93">
        <f>AA368</f>
        <v>0</v>
      </c>
      <c r="AB367" s="91">
        <f>AC367</f>
        <v>0</v>
      </c>
      <c r="AC367" s="92">
        <f>AC368</f>
        <v>0</v>
      </c>
      <c r="AD367" s="93">
        <f>AD368</f>
        <v>0</v>
      </c>
      <c r="AF367" s="46">
        <f t="shared" si="231"/>
        <v>0</v>
      </c>
      <c r="AG367" s="46"/>
    </row>
    <row r="368" spans="1:33" s="351" customFormat="1" ht="12.75" customHeight="1">
      <c r="A368" s="350"/>
      <c r="B368" s="108"/>
      <c r="C368" s="208" t="s">
        <v>201</v>
      </c>
      <c r="D368" s="91">
        <v>0</v>
      </c>
      <c r="E368" s="92"/>
      <c r="F368" s="93"/>
      <c r="G368" s="91">
        <f>H368</f>
        <v>0</v>
      </c>
      <c r="H368" s="92"/>
      <c r="I368" s="93"/>
      <c r="J368" s="91">
        <f>K368</f>
        <v>0</v>
      </c>
      <c r="K368" s="92"/>
      <c r="L368" s="93"/>
      <c r="M368" s="91">
        <f>N368</f>
        <v>0</v>
      </c>
      <c r="N368" s="92"/>
      <c r="O368" s="93"/>
      <c r="P368" s="91">
        <f>Q368</f>
        <v>0</v>
      </c>
      <c r="Q368" s="92"/>
      <c r="R368" s="93"/>
      <c r="S368" s="91">
        <f>T368</f>
        <v>0</v>
      </c>
      <c r="T368" s="92"/>
      <c r="U368" s="93"/>
      <c r="V368" s="91">
        <f>W368</f>
        <v>0</v>
      </c>
      <c r="W368" s="92"/>
      <c r="X368" s="93"/>
      <c r="Y368" s="91">
        <f>Z368</f>
        <v>0</v>
      </c>
      <c r="Z368" s="92"/>
      <c r="AA368" s="93"/>
      <c r="AB368" s="91">
        <f>AC368</f>
        <v>0</v>
      </c>
      <c r="AC368" s="92"/>
      <c r="AD368" s="93"/>
      <c r="AF368" s="46">
        <f t="shared" si="231"/>
        <v>0</v>
      </c>
      <c r="AG368" s="46"/>
    </row>
    <row r="369" spans="1:33" ht="0.75" customHeight="1">
      <c r="A369" s="324"/>
      <c r="B369" s="108"/>
      <c r="C369" s="208"/>
      <c r="D369" s="91"/>
      <c r="E369" s="92"/>
      <c r="F369" s="93"/>
      <c r="G369" s="91"/>
      <c r="H369" s="92"/>
      <c r="I369" s="93"/>
      <c r="J369" s="91"/>
      <c r="K369" s="92"/>
      <c r="L369" s="93"/>
      <c r="M369" s="91"/>
      <c r="N369" s="92"/>
      <c r="O369" s="93"/>
      <c r="P369" s="91"/>
      <c r="Q369" s="92"/>
      <c r="R369" s="93"/>
      <c r="S369" s="91"/>
      <c r="T369" s="92"/>
      <c r="U369" s="93"/>
      <c r="V369" s="91"/>
      <c r="W369" s="92"/>
      <c r="X369" s="93"/>
      <c r="Y369" s="91"/>
      <c r="Z369" s="92"/>
      <c r="AA369" s="93"/>
      <c r="AB369" s="91"/>
      <c r="AC369" s="92"/>
      <c r="AD369" s="93"/>
      <c r="AF369" s="46">
        <f t="shared" si="231"/>
        <v>0</v>
      </c>
      <c r="AG369" s="46"/>
    </row>
    <row r="370" spans="2:33" ht="9.75" customHeight="1">
      <c r="B370" s="115"/>
      <c r="C370" s="236"/>
      <c r="D370" s="91"/>
      <c r="E370" s="118"/>
      <c r="F370" s="144"/>
      <c r="G370" s="91"/>
      <c r="H370" s="118"/>
      <c r="I370" s="144"/>
      <c r="J370" s="91"/>
      <c r="K370" s="118"/>
      <c r="L370" s="144"/>
      <c r="M370" s="91"/>
      <c r="N370" s="118"/>
      <c r="O370" s="144"/>
      <c r="P370" s="91"/>
      <c r="Q370" s="118"/>
      <c r="R370" s="144"/>
      <c r="S370" s="91"/>
      <c r="T370" s="118"/>
      <c r="U370" s="144"/>
      <c r="V370" s="91"/>
      <c r="W370" s="118"/>
      <c r="X370" s="144"/>
      <c r="Y370" s="91"/>
      <c r="Z370" s="118"/>
      <c r="AA370" s="144"/>
      <c r="AB370" s="91"/>
      <c r="AC370" s="118"/>
      <c r="AD370" s="144"/>
      <c r="AF370" s="46">
        <f t="shared" si="231"/>
        <v>0</v>
      </c>
      <c r="AG370" s="46"/>
    </row>
    <row r="371" spans="2:33" ht="12" customHeight="1">
      <c r="B371" s="41"/>
      <c r="C371" s="352" t="s">
        <v>239</v>
      </c>
      <c r="D371" s="43">
        <v>921811336</v>
      </c>
      <c r="E371" s="44">
        <v>487552951</v>
      </c>
      <c r="F371" s="45">
        <v>434258385</v>
      </c>
      <c r="G371" s="43">
        <f aca="true" t="shared" si="243" ref="G371:X371">G375+G547</f>
        <v>7063676</v>
      </c>
      <c r="H371" s="44">
        <f t="shared" si="243"/>
        <v>1233676</v>
      </c>
      <c r="I371" s="45">
        <f t="shared" si="243"/>
        <v>5830000</v>
      </c>
      <c r="J371" s="43">
        <f t="shared" si="243"/>
        <v>928875012</v>
      </c>
      <c r="K371" s="44">
        <f t="shared" si="243"/>
        <v>488786627</v>
      </c>
      <c r="L371" s="45">
        <f t="shared" si="243"/>
        <v>440088385</v>
      </c>
      <c r="M371" s="43">
        <f t="shared" si="243"/>
        <v>3822</v>
      </c>
      <c r="N371" s="44">
        <f t="shared" si="243"/>
        <v>3822</v>
      </c>
      <c r="O371" s="45">
        <f t="shared" si="243"/>
        <v>0</v>
      </c>
      <c r="P371" s="43">
        <f t="shared" si="243"/>
        <v>928878834</v>
      </c>
      <c r="Q371" s="44">
        <f t="shared" si="243"/>
        <v>488790449</v>
      </c>
      <c r="R371" s="45">
        <f t="shared" si="243"/>
        <v>440088385</v>
      </c>
      <c r="S371" s="43">
        <f t="shared" si="243"/>
        <v>33152429</v>
      </c>
      <c r="T371" s="44">
        <f t="shared" si="243"/>
        <v>28084179</v>
      </c>
      <c r="U371" s="45">
        <f t="shared" si="243"/>
        <v>5068250</v>
      </c>
      <c r="V371" s="43">
        <f t="shared" si="243"/>
        <v>962031263</v>
      </c>
      <c r="W371" s="44">
        <f t="shared" si="243"/>
        <v>516874628</v>
      </c>
      <c r="X371" s="45">
        <f t="shared" si="243"/>
        <v>445156635</v>
      </c>
      <c r="Y371" s="43">
        <f aca="true" t="shared" si="244" ref="Y371:AD371">Y375+Y547</f>
        <v>182463</v>
      </c>
      <c r="Z371" s="44">
        <f t="shared" si="244"/>
        <v>-160235</v>
      </c>
      <c r="AA371" s="45">
        <f t="shared" si="244"/>
        <v>342698</v>
      </c>
      <c r="AB371" s="43">
        <f t="shared" si="244"/>
        <v>962213726</v>
      </c>
      <c r="AC371" s="44">
        <f t="shared" si="244"/>
        <v>516714393</v>
      </c>
      <c r="AD371" s="45">
        <f t="shared" si="244"/>
        <v>445499333</v>
      </c>
      <c r="AF371" s="46">
        <f t="shared" si="231"/>
        <v>0</v>
      </c>
      <c r="AG371" s="46"/>
    </row>
    <row r="372" spans="2:33" ht="6.75" customHeight="1" thickBot="1">
      <c r="B372" s="41"/>
      <c r="C372" s="56"/>
      <c r="D372" s="48"/>
      <c r="E372" s="49"/>
      <c r="F372" s="72"/>
      <c r="G372" s="48"/>
      <c r="H372" s="49"/>
      <c r="I372" s="72"/>
      <c r="J372" s="48"/>
      <c r="K372" s="49"/>
      <c r="L372" s="72"/>
      <c r="M372" s="48"/>
      <c r="N372" s="49"/>
      <c r="O372" s="72"/>
      <c r="P372" s="48"/>
      <c r="Q372" s="49"/>
      <c r="R372" s="72"/>
      <c r="S372" s="48"/>
      <c r="T372" s="49"/>
      <c r="U372" s="72"/>
      <c r="V372" s="48"/>
      <c r="W372" s="49"/>
      <c r="X372" s="72"/>
      <c r="Y372" s="48"/>
      <c r="Z372" s="49"/>
      <c r="AA372" s="72"/>
      <c r="AB372" s="48"/>
      <c r="AC372" s="49"/>
      <c r="AD372" s="72"/>
      <c r="AF372" s="46">
        <f t="shared" si="231"/>
        <v>0</v>
      </c>
      <c r="AG372" s="46"/>
    </row>
    <row r="373" spans="2:33" ht="14.25" customHeight="1" thickBot="1" thickTop="1">
      <c r="B373" s="41"/>
      <c r="C373" s="58" t="s">
        <v>6</v>
      </c>
      <c r="D373" s="59"/>
      <c r="E373" s="60"/>
      <c r="F373" s="353"/>
      <c r="G373" s="59"/>
      <c r="H373" s="60"/>
      <c r="I373" s="353"/>
      <c r="J373" s="59"/>
      <c r="K373" s="60"/>
      <c r="L373" s="353"/>
      <c r="M373" s="59"/>
      <c r="N373" s="60"/>
      <c r="O373" s="353"/>
      <c r="P373" s="59"/>
      <c r="Q373" s="60"/>
      <c r="R373" s="353"/>
      <c r="S373" s="59"/>
      <c r="T373" s="60"/>
      <c r="U373" s="353"/>
      <c r="V373" s="59"/>
      <c r="W373" s="60"/>
      <c r="X373" s="353"/>
      <c r="Y373" s="59"/>
      <c r="Z373" s="60"/>
      <c r="AA373" s="353"/>
      <c r="AB373" s="59"/>
      <c r="AC373" s="60"/>
      <c r="AD373" s="353"/>
      <c r="AF373" s="46">
        <f t="shared" si="231"/>
        <v>0</v>
      </c>
      <c r="AG373" s="46"/>
    </row>
    <row r="374" spans="2:33" ht="7.5" customHeight="1" thickTop="1">
      <c r="B374" s="41"/>
      <c r="C374" s="62"/>
      <c r="D374" s="63"/>
      <c r="E374" s="52"/>
      <c r="F374" s="64"/>
      <c r="G374" s="63"/>
      <c r="H374" s="52"/>
      <c r="I374" s="64"/>
      <c r="J374" s="63"/>
      <c r="K374" s="52"/>
      <c r="L374" s="64"/>
      <c r="M374" s="63"/>
      <c r="N374" s="52"/>
      <c r="O374" s="64"/>
      <c r="P374" s="63"/>
      <c r="Q374" s="52"/>
      <c r="R374" s="64"/>
      <c r="S374" s="63"/>
      <c r="T374" s="52"/>
      <c r="U374" s="64"/>
      <c r="V374" s="63"/>
      <c r="W374" s="52"/>
      <c r="X374" s="64"/>
      <c r="Y374" s="63"/>
      <c r="Z374" s="52"/>
      <c r="AA374" s="64"/>
      <c r="AB374" s="63"/>
      <c r="AC374" s="52"/>
      <c r="AD374" s="64"/>
      <c r="AF374" s="46">
        <f t="shared" si="231"/>
        <v>0</v>
      </c>
      <c r="AG374" s="46"/>
    </row>
    <row r="375" spans="1:33" ht="12.75">
      <c r="A375" s="354"/>
      <c r="B375" s="66"/>
      <c r="C375" s="352" t="s">
        <v>240</v>
      </c>
      <c r="D375" s="68">
        <v>885205631</v>
      </c>
      <c r="E375" s="68">
        <v>451047246</v>
      </c>
      <c r="F375" s="45">
        <v>434158385</v>
      </c>
      <c r="G375" s="68">
        <f aca="true" t="shared" si="245" ref="G375:X375">G377+G380+G387+G389+G391+G393+G403+G444+G448+G484+G496+G523+G531+G400</f>
        <v>7063676</v>
      </c>
      <c r="H375" s="68">
        <f t="shared" si="245"/>
        <v>1233676</v>
      </c>
      <c r="I375" s="45">
        <f t="shared" si="245"/>
        <v>5830000</v>
      </c>
      <c r="J375" s="68">
        <f t="shared" si="245"/>
        <v>892269307</v>
      </c>
      <c r="K375" s="68">
        <f t="shared" si="245"/>
        <v>452280922</v>
      </c>
      <c r="L375" s="45">
        <f t="shared" si="245"/>
        <v>439988385</v>
      </c>
      <c r="M375" s="68">
        <f t="shared" si="245"/>
        <v>-124300</v>
      </c>
      <c r="N375" s="68">
        <f t="shared" si="245"/>
        <v>-124300</v>
      </c>
      <c r="O375" s="45">
        <f t="shared" si="245"/>
        <v>0</v>
      </c>
      <c r="P375" s="68">
        <f t="shared" si="245"/>
        <v>892145007</v>
      </c>
      <c r="Q375" s="68">
        <f t="shared" si="245"/>
        <v>452156622</v>
      </c>
      <c r="R375" s="45">
        <f t="shared" si="245"/>
        <v>439988385</v>
      </c>
      <c r="S375" s="68">
        <f t="shared" si="245"/>
        <v>32676877</v>
      </c>
      <c r="T375" s="68">
        <f t="shared" si="245"/>
        <v>27608627</v>
      </c>
      <c r="U375" s="45">
        <f t="shared" si="245"/>
        <v>5068250</v>
      </c>
      <c r="V375" s="68">
        <f t="shared" si="245"/>
        <v>924821884</v>
      </c>
      <c r="W375" s="68">
        <f t="shared" si="245"/>
        <v>479765249</v>
      </c>
      <c r="X375" s="45">
        <f t="shared" si="245"/>
        <v>445056635</v>
      </c>
      <c r="Y375" s="68">
        <f aca="true" t="shared" si="246" ref="Y375:AD375">Y377+Y380+Y387+Y389+Y391+Y393+Y403+Y444+Y448+Y484+Y496+Y523+Y531+Y400</f>
        <v>-332252</v>
      </c>
      <c r="Z375" s="68">
        <f t="shared" si="246"/>
        <v>-674950</v>
      </c>
      <c r="AA375" s="45">
        <f t="shared" si="246"/>
        <v>342698</v>
      </c>
      <c r="AB375" s="68">
        <f t="shared" si="246"/>
        <v>924489632</v>
      </c>
      <c r="AC375" s="68">
        <f t="shared" si="246"/>
        <v>479090299</v>
      </c>
      <c r="AD375" s="45">
        <f t="shared" si="246"/>
        <v>445399333</v>
      </c>
      <c r="AF375" s="46">
        <f t="shared" si="231"/>
        <v>0</v>
      </c>
      <c r="AG375" s="46"/>
    </row>
    <row r="376" spans="1:33" ht="7.5" customHeight="1" thickBot="1">
      <c r="A376" s="354"/>
      <c r="B376" s="355"/>
      <c r="C376" s="356"/>
      <c r="D376" s="357"/>
      <c r="E376" s="358"/>
      <c r="F376" s="359"/>
      <c r="G376" s="357"/>
      <c r="H376" s="358"/>
      <c r="I376" s="359"/>
      <c r="J376" s="357"/>
      <c r="K376" s="358"/>
      <c r="L376" s="359"/>
      <c r="M376" s="357"/>
      <c r="N376" s="358"/>
      <c r="O376" s="359"/>
      <c r="P376" s="357"/>
      <c r="Q376" s="358"/>
      <c r="R376" s="359"/>
      <c r="S376" s="357"/>
      <c r="T376" s="358"/>
      <c r="U376" s="359"/>
      <c r="V376" s="357"/>
      <c r="W376" s="358"/>
      <c r="X376" s="359"/>
      <c r="Y376" s="357"/>
      <c r="Z376" s="358"/>
      <c r="AA376" s="359"/>
      <c r="AB376" s="357"/>
      <c r="AC376" s="358"/>
      <c r="AD376" s="359"/>
      <c r="AF376" s="46">
        <f t="shared" si="231"/>
        <v>0</v>
      </c>
      <c r="AG376" s="46"/>
    </row>
    <row r="377" spans="1:33" ht="13.5" thickTop="1">
      <c r="A377" s="354"/>
      <c r="B377" s="360" t="s">
        <v>241</v>
      </c>
      <c r="C377" s="107" t="s">
        <v>242</v>
      </c>
      <c r="D377" s="361">
        <v>40000</v>
      </c>
      <c r="E377" s="340">
        <v>40000</v>
      </c>
      <c r="F377" s="362">
        <v>0</v>
      </c>
      <c r="G377" s="361">
        <f>H377+I377</f>
        <v>0</v>
      </c>
      <c r="H377" s="340">
        <f>H379+H378</f>
        <v>0</v>
      </c>
      <c r="I377" s="362">
        <f>I379+I378</f>
        <v>0</v>
      </c>
      <c r="J377" s="361">
        <f>K377+L377</f>
        <v>40000</v>
      </c>
      <c r="K377" s="340">
        <f>K379+K378</f>
        <v>40000</v>
      </c>
      <c r="L377" s="362">
        <f>L379+L378</f>
        <v>0</v>
      </c>
      <c r="M377" s="361">
        <f>N377+O377</f>
        <v>0</v>
      </c>
      <c r="N377" s="340">
        <f>N379+N378</f>
        <v>0</v>
      </c>
      <c r="O377" s="362">
        <f>O379+O378</f>
        <v>0</v>
      </c>
      <c r="P377" s="361">
        <f>Q377+R377</f>
        <v>40000</v>
      </c>
      <c r="Q377" s="340">
        <f>Q379+Q378</f>
        <v>40000</v>
      </c>
      <c r="R377" s="362">
        <f>R379+R378</f>
        <v>0</v>
      </c>
      <c r="S377" s="361">
        <f>T377+U377</f>
        <v>0</v>
      </c>
      <c r="T377" s="340">
        <f>T379+T378</f>
        <v>0</v>
      </c>
      <c r="U377" s="362">
        <f>U379+U378</f>
        <v>0</v>
      </c>
      <c r="V377" s="361">
        <f>W377+X377</f>
        <v>40000</v>
      </c>
      <c r="W377" s="340">
        <f>W379+W378</f>
        <v>40000</v>
      </c>
      <c r="X377" s="362">
        <f>X379+X378</f>
        <v>0</v>
      </c>
      <c r="Y377" s="361">
        <f>Z377+AA377</f>
        <v>0</v>
      </c>
      <c r="Z377" s="340">
        <f>Z379+Z378</f>
        <v>0</v>
      </c>
      <c r="AA377" s="362">
        <f>AA379+AA378</f>
        <v>0</v>
      </c>
      <c r="AB377" s="361">
        <f>AC377+AD377</f>
        <v>40000</v>
      </c>
      <c r="AC377" s="340">
        <f>AC379+AC378</f>
        <v>40000</v>
      </c>
      <c r="AD377" s="362">
        <f>AD379+AD378</f>
        <v>0</v>
      </c>
      <c r="AF377" s="46">
        <f t="shared" si="231"/>
        <v>0</v>
      </c>
      <c r="AG377" s="46"/>
    </row>
    <row r="378" spans="1:33" ht="12.75">
      <c r="A378" s="354"/>
      <c r="B378" s="363" t="s">
        <v>243</v>
      </c>
      <c r="C378" s="129" t="s">
        <v>244</v>
      </c>
      <c r="D378" s="112">
        <v>30000</v>
      </c>
      <c r="E378" s="142">
        <v>30000</v>
      </c>
      <c r="F378" s="150">
        <v>0</v>
      </c>
      <c r="G378" s="112">
        <f>H378+I378</f>
        <v>0</v>
      </c>
      <c r="H378" s="142"/>
      <c r="I378" s="150">
        <v>0</v>
      </c>
      <c r="J378" s="112">
        <f>K378+L378</f>
        <v>30000</v>
      </c>
      <c r="K378" s="142">
        <f>E378+H378</f>
        <v>30000</v>
      </c>
      <c r="L378" s="150">
        <f>I378+F378</f>
        <v>0</v>
      </c>
      <c r="M378" s="112">
        <f>N378+O378</f>
        <v>0</v>
      </c>
      <c r="N378" s="142"/>
      <c r="O378" s="150">
        <v>0</v>
      </c>
      <c r="P378" s="112">
        <f>Q378+R378</f>
        <v>30000</v>
      </c>
      <c r="Q378" s="142">
        <f>K378+N378</f>
        <v>30000</v>
      </c>
      <c r="R378" s="150">
        <f>O378+L378</f>
        <v>0</v>
      </c>
      <c r="S378" s="112">
        <f>T378+U378</f>
        <v>0</v>
      </c>
      <c r="T378" s="142"/>
      <c r="U378" s="150">
        <v>0</v>
      </c>
      <c r="V378" s="112">
        <f>W378+X378</f>
        <v>30000</v>
      </c>
      <c r="W378" s="142">
        <f>Q378+T378</f>
        <v>30000</v>
      </c>
      <c r="X378" s="150">
        <f>U378+R378</f>
        <v>0</v>
      </c>
      <c r="Y378" s="112">
        <f>Z378+AA378</f>
        <v>0</v>
      </c>
      <c r="Z378" s="142"/>
      <c r="AA378" s="150">
        <v>0</v>
      </c>
      <c r="AB378" s="112">
        <f>AC378+AD378</f>
        <v>30000</v>
      </c>
      <c r="AC378" s="142">
        <f>W378+Z378</f>
        <v>30000</v>
      </c>
      <c r="AD378" s="150">
        <f>AA378+X378</f>
        <v>0</v>
      </c>
      <c r="AF378" s="46">
        <f t="shared" si="231"/>
        <v>0</v>
      </c>
      <c r="AG378" s="46"/>
    </row>
    <row r="379" spans="1:33" ht="12.75">
      <c r="A379" s="354"/>
      <c r="B379" s="363" t="s">
        <v>245</v>
      </c>
      <c r="C379" s="129" t="s">
        <v>246</v>
      </c>
      <c r="D379" s="112">
        <v>10000</v>
      </c>
      <c r="E379" s="142">
        <v>10000</v>
      </c>
      <c r="F379" s="150">
        <v>0</v>
      </c>
      <c r="G379" s="112">
        <f>H379+I379</f>
        <v>0</v>
      </c>
      <c r="H379" s="142"/>
      <c r="I379" s="150">
        <v>0</v>
      </c>
      <c r="J379" s="112">
        <f>K379+L379</f>
        <v>10000</v>
      </c>
      <c r="K379" s="142">
        <f>E379+H379</f>
        <v>10000</v>
      </c>
      <c r="L379" s="150">
        <f>I379+F379</f>
        <v>0</v>
      </c>
      <c r="M379" s="112">
        <f>N379+O379</f>
        <v>0</v>
      </c>
      <c r="N379" s="142"/>
      <c r="O379" s="150">
        <v>0</v>
      </c>
      <c r="P379" s="112">
        <f>Q379+R379</f>
        <v>10000</v>
      </c>
      <c r="Q379" s="142">
        <f>K379+N379</f>
        <v>10000</v>
      </c>
      <c r="R379" s="150">
        <f>O379+L379</f>
        <v>0</v>
      </c>
      <c r="S379" s="112">
        <f>T379+U379</f>
        <v>0</v>
      </c>
      <c r="T379" s="142"/>
      <c r="U379" s="150">
        <v>0</v>
      </c>
      <c r="V379" s="112">
        <f>W379+X379</f>
        <v>10000</v>
      </c>
      <c r="W379" s="142">
        <f>Q379+T379</f>
        <v>10000</v>
      </c>
      <c r="X379" s="150">
        <f>U379+R379</f>
        <v>0</v>
      </c>
      <c r="Y379" s="112">
        <f>Z379+AA379</f>
        <v>0</v>
      </c>
      <c r="Z379" s="142"/>
      <c r="AA379" s="150"/>
      <c r="AB379" s="112">
        <f>AC379+AD379</f>
        <v>10000</v>
      </c>
      <c r="AC379" s="142">
        <f>W379+Z379</f>
        <v>10000</v>
      </c>
      <c r="AD379" s="150">
        <f>AA379+X379</f>
        <v>0</v>
      </c>
      <c r="AF379" s="46">
        <f t="shared" si="231"/>
        <v>0</v>
      </c>
      <c r="AG379" s="46"/>
    </row>
    <row r="380" spans="1:33" ht="12.75">
      <c r="A380" s="354"/>
      <c r="B380" s="101">
        <v>600</v>
      </c>
      <c r="C380" s="107" t="s">
        <v>36</v>
      </c>
      <c r="D380" s="103">
        <v>416596638</v>
      </c>
      <c r="E380" s="104">
        <v>79350238</v>
      </c>
      <c r="F380" s="105">
        <v>337246400</v>
      </c>
      <c r="G380" s="103">
        <f aca="true" t="shared" si="247" ref="G380:AD380">G381</f>
        <v>2000000</v>
      </c>
      <c r="H380" s="104">
        <f t="shared" si="247"/>
        <v>0</v>
      </c>
      <c r="I380" s="105">
        <f t="shared" si="247"/>
        <v>2000000</v>
      </c>
      <c r="J380" s="103">
        <f t="shared" si="247"/>
        <v>418596638</v>
      </c>
      <c r="K380" s="104">
        <f t="shared" si="247"/>
        <v>79350238</v>
      </c>
      <c r="L380" s="105">
        <f t="shared" si="247"/>
        <v>339246400</v>
      </c>
      <c r="M380" s="103">
        <f t="shared" si="247"/>
        <v>0</v>
      </c>
      <c r="N380" s="104">
        <f t="shared" si="247"/>
        <v>0</v>
      </c>
      <c r="O380" s="105">
        <f t="shared" si="247"/>
        <v>0</v>
      </c>
      <c r="P380" s="103">
        <f t="shared" si="247"/>
        <v>418596638</v>
      </c>
      <c r="Q380" s="104">
        <f t="shared" si="247"/>
        <v>79350238</v>
      </c>
      <c r="R380" s="105">
        <f t="shared" si="247"/>
        <v>339246400</v>
      </c>
      <c r="S380" s="103">
        <f t="shared" si="247"/>
        <v>10345000</v>
      </c>
      <c r="T380" s="104">
        <f t="shared" si="247"/>
        <v>6545000</v>
      </c>
      <c r="U380" s="105">
        <f t="shared" si="247"/>
        <v>3800000</v>
      </c>
      <c r="V380" s="103">
        <f t="shared" si="247"/>
        <v>428941638</v>
      </c>
      <c r="W380" s="104">
        <f t="shared" si="247"/>
        <v>85895238</v>
      </c>
      <c r="X380" s="105">
        <f t="shared" si="247"/>
        <v>343046400</v>
      </c>
      <c r="Y380" s="103">
        <f t="shared" si="247"/>
        <v>629000</v>
      </c>
      <c r="Z380" s="104">
        <f t="shared" si="247"/>
        <v>629000</v>
      </c>
      <c r="AA380" s="105">
        <f t="shared" si="247"/>
        <v>0</v>
      </c>
      <c r="AB380" s="103">
        <f t="shared" si="247"/>
        <v>429570638</v>
      </c>
      <c r="AC380" s="104">
        <f t="shared" si="247"/>
        <v>86524238</v>
      </c>
      <c r="AD380" s="105">
        <f t="shared" si="247"/>
        <v>343046400</v>
      </c>
      <c r="AF380" s="46">
        <f t="shared" si="231"/>
        <v>0</v>
      </c>
      <c r="AG380" s="46"/>
    </row>
    <row r="381" spans="1:33" ht="12.75">
      <c r="A381" s="354"/>
      <c r="B381" s="106">
        <v>60015</v>
      </c>
      <c r="C381" s="83" t="s">
        <v>247</v>
      </c>
      <c r="D381" s="112">
        <v>416596638</v>
      </c>
      <c r="E381" s="113">
        <v>79350238</v>
      </c>
      <c r="F381" s="114">
        <v>337246400</v>
      </c>
      <c r="G381" s="112">
        <f aca="true" t="shared" si="248" ref="G381:G386">H381+I381</f>
        <v>2000000</v>
      </c>
      <c r="H381" s="113">
        <f>H382+H385</f>
        <v>0</v>
      </c>
      <c r="I381" s="114">
        <f>I382+I385</f>
        <v>2000000</v>
      </c>
      <c r="J381" s="112">
        <f aca="true" t="shared" si="249" ref="J381:J386">K381+L381</f>
        <v>418596638</v>
      </c>
      <c r="K381" s="113">
        <f aca="true" t="shared" si="250" ref="K381:K386">E381+H381</f>
        <v>79350238</v>
      </c>
      <c r="L381" s="114">
        <f aca="true" t="shared" si="251" ref="L381:L386">I381+F381</f>
        <v>339246400</v>
      </c>
      <c r="M381" s="112">
        <f aca="true" t="shared" si="252" ref="M381:M386">N381+O381</f>
        <v>0</v>
      </c>
      <c r="N381" s="113">
        <f>N382+N385</f>
        <v>0</v>
      </c>
      <c r="O381" s="114">
        <f>O382+O385</f>
        <v>0</v>
      </c>
      <c r="P381" s="112">
        <f aca="true" t="shared" si="253" ref="P381:P386">Q381+R381</f>
        <v>418596638</v>
      </c>
      <c r="Q381" s="113">
        <f aca="true" t="shared" si="254" ref="Q381:Q386">K381+N381</f>
        <v>79350238</v>
      </c>
      <c r="R381" s="114">
        <f aca="true" t="shared" si="255" ref="R381:R386">O381+L381</f>
        <v>339246400</v>
      </c>
      <c r="S381" s="112">
        <f aca="true" t="shared" si="256" ref="S381:S386">T381+U381</f>
        <v>10345000</v>
      </c>
      <c r="T381" s="113">
        <f>T382+T385</f>
        <v>6545000</v>
      </c>
      <c r="U381" s="114">
        <f>U382+U385</f>
        <v>3800000</v>
      </c>
      <c r="V381" s="112">
        <f aca="true" t="shared" si="257" ref="V381:V386">W381+X381</f>
        <v>428941638</v>
      </c>
      <c r="W381" s="113">
        <f aca="true" t="shared" si="258" ref="W381:W386">Q381+T381</f>
        <v>85895238</v>
      </c>
      <c r="X381" s="114">
        <f aca="true" t="shared" si="259" ref="X381:X386">U381+R381</f>
        <v>343046400</v>
      </c>
      <c r="Y381" s="112">
        <f aca="true" t="shared" si="260" ref="Y381:Y386">Z381+AA381</f>
        <v>629000</v>
      </c>
      <c r="Z381" s="113">
        <f>Z382+Z385</f>
        <v>629000</v>
      </c>
      <c r="AA381" s="114">
        <f>AA382+AA385</f>
        <v>0</v>
      </c>
      <c r="AB381" s="112">
        <f aca="true" t="shared" si="261" ref="AB381:AB386">AC381+AD381</f>
        <v>429570638</v>
      </c>
      <c r="AC381" s="113">
        <f aca="true" t="shared" si="262" ref="AC381:AC386">W381+Z381</f>
        <v>86524238</v>
      </c>
      <c r="AD381" s="114">
        <f aca="true" t="shared" si="263" ref="AD381:AD386">AA381+X381</f>
        <v>343046400</v>
      </c>
      <c r="AF381" s="46">
        <f t="shared" si="231"/>
        <v>0</v>
      </c>
      <c r="AG381" s="46"/>
    </row>
    <row r="382" spans="1:33" s="120" customFormat="1" ht="12.75">
      <c r="A382" s="354"/>
      <c r="B382" s="300"/>
      <c r="C382" s="301" t="s">
        <v>41</v>
      </c>
      <c r="D382" s="364">
        <v>412705597</v>
      </c>
      <c r="E382" s="288">
        <v>79350238</v>
      </c>
      <c r="F382" s="365">
        <v>333355359</v>
      </c>
      <c r="G382" s="364">
        <f t="shared" si="248"/>
        <v>2000000</v>
      </c>
      <c r="H382" s="288"/>
      <c r="I382" s="365">
        <v>2000000</v>
      </c>
      <c r="J382" s="364">
        <f t="shared" si="249"/>
        <v>414705597</v>
      </c>
      <c r="K382" s="288">
        <f t="shared" si="250"/>
        <v>79350238</v>
      </c>
      <c r="L382" s="365">
        <f t="shared" si="251"/>
        <v>335355359</v>
      </c>
      <c r="M382" s="364">
        <f t="shared" si="252"/>
        <v>0</v>
      </c>
      <c r="N382" s="288"/>
      <c r="O382" s="365">
        <v>0</v>
      </c>
      <c r="P382" s="364">
        <f t="shared" si="253"/>
        <v>415705597</v>
      </c>
      <c r="Q382" s="288">
        <f t="shared" si="254"/>
        <v>79350238</v>
      </c>
      <c r="R382" s="365">
        <f>O382+L382+1000000</f>
        <v>336355359</v>
      </c>
      <c r="S382" s="364">
        <f t="shared" si="256"/>
        <v>10345000</v>
      </c>
      <c r="T382" s="288">
        <v>6545000</v>
      </c>
      <c r="U382" s="365">
        <f>1000000-16060000+18860000+900000-900000</f>
        <v>3800000</v>
      </c>
      <c r="V382" s="364">
        <f t="shared" si="257"/>
        <v>426050597</v>
      </c>
      <c r="W382" s="288">
        <f t="shared" si="258"/>
        <v>85895238</v>
      </c>
      <c r="X382" s="365">
        <f t="shared" si="259"/>
        <v>340155359</v>
      </c>
      <c r="Y382" s="364">
        <f t="shared" si="260"/>
        <v>629000</v>
      </c>
      <c r="Z382" s="288">
        <v>629000</v>
      </c>
      <c r="AA382" s="365"/>
      <c r="AB382" s="364">
        <f t="shared" si="261"/>
        <v>426679597</v>
      </c>
      <c r="AC382" s="288">
        <f t="shared" si="262"/>
        <v>86524238</v>
      </c>
      <c r="AD382" s="365">
        <f t="shared" si="263"/>
        <v>340155359</v>
      </c>
      <c r="AF382" s="46">
        <f t="shared" si="231"/>
        <v>0</v>
      </c>
      <c r="AG382" s="46"/>
    </row>
    <row r="383" spans="1:33" s="370" customFormat="1" ht="13.5" customHeight="1">
      <c r="A383" s="366"/>
      <c r="B383" s="367"/>
      <c r="C383" s="122" t="s">
        <v>42</v>
      </c>
      <c r="D383" s="368">
        <v>116575200</v>
      </c>
      <c r="E383" s="124">
        <v>0</v>
      </c>
      <c r="F383" s="369">
        <v>116575200</v>
      </c>
      <c r="G383" s="368">
        <f t="shared" si="248"/>
        <v>0</v>
      </c>
      <c r="H383" s="124"/>
      <c r="I383" s="369"/>
      <c r="J383" s="368">
        <f t="shared" si="249"/>
        <v>116575200</v>
      </c>
      <c r="K383" s="124">
        <f t="shared" si="250"/>
        <v>0</v>
      </c>
      <c r="L383" s="369">
        <f t="shared" si="251"/>
        <v>116575200</v>
      </c>
      <c r="M383" s="368">
        <f t="shared" si="252"/>
        <v>0</v>
      </c>
      <c r="N383" s="124"/>
      <c r="O383" s="369"/>
      <c r="P383" s="368">
        <f t="shared" si="253"/>
        <v>116575200</v>
      </c>
      <c r="Q383" s="124">
        <f t="shared" si="254"/>
        <v>0</v>
      </c>
      <c r="R383" s="369">
        <f t="shared" si="255"/>
        <v>116575200</v>
      </c>
      <c r="S383" s="368">
        <f t="shared" si="256"/>
        <v>0</v>
      </c>
      <c r="T383" s="124"/>
      <c r="U383" s="369"/>
      <c r="V383" s="368">
        <f t="shared" si="257"/>
        <v>116575200</v>
      </c>
      <c r="W383" s="124">
        <f t="shared" si="258"/>
        <v>0</v>
      </c>
      <c r="X383" s="369">
        <f t="shared" si="259"/>
        <v>116575200</v>
      </c>
      <c r="Y383" s="368">
        <f t="shared" si="260"/>
        <v>0</v>
      </c>
      <c r="Z383" s="124"/>
      <c r="AA383" s="369"/>
      <c r="AB383" s="368">
        <f t="shared" si="261"/>
        <v>116575200</v>
      </c>
      <c r="AC383" s="124">
        <f t="shared" si="262"/>
        <v>0</v>
      </c>
      <c r="AD383" s="369">
        <f t="shared" si="263"/>
        <v>116575200</v>
      </c>
      <c r="AF383" s="46">
        <f t="shared" si="231"/>
        <v>0</v>
      </c>
      <c r="AG383" s="46"/>
    </row>
    <row r="384" spans="1:33" s="370" customFormat="1" ht="13.5" customHeight="1" hidden="1">
      <c r="A384" s="366"/>
      <c r="B384" s="367"/>
      <c r="C384" s="122" t="s">
        <v>248</v>
      </c>
      <c r="D384" s="368">
        <v>0</v>
      </c>
      <c r="E384" s="124">
        <v>0</v>
      </c>
      <c r="F384" s="369">
        <v>0</v>
      </c>
      <c r="G384" s="368">
        <f t="shared" si="248"/>
        <v>0</v>
      </c>
      <c r="H384" s="124"/>
      <c r="I384" s="369"/>
      <c r="J384" s="368">
        <f t="shared" si="249"/>
        <v>0</v>
      </c>
      <c r="K384" s="124">
        <f t="shared" si="250"/>
        <v>0</v>
      </c>
      <c r="L384" s="369">
        <f t="shared" si="251"/>
        <v>0</v>
      </c>
      <c r="M384" s="368">
        <f t="shared" si="252"/>
        <v>0</v>
      </c>
      <c r="N384" s="124"/>
      <c r="O384" s="369"/>
      <c r="P384" s="368">
        <f t="shared" si="253"/>
        <v>0</v>
      </c>
      <c r="Q384" s="124">
        <f t="shared" si="254"/>
        <v>0</v>
      </c>
      <c r="R384" s="369">
        <f t="shared" si="255"/>
        <v>0</v>
      </c>
      <c r="S384" s="368">
        <f t="shared" si="256"/>
        <v>0</v>
      </c>
      <c r="T384" s="124"/>
      <c r="U384" s="369"/>
      <c r="V384" s="368">
        <f t="shared" si="257"/>
        <v>0</v>
      </c>
      <c r="W384" s="124">
        <f t="shared" si="258"/>
        <v>0</v>
      </c>
      <c r="X384" s="369">
        <f t="shared" si="259"/>
        <v>0</v>
      </c>
      <c r="Y384" s="368">
        <f t="shared" si="260"/>
        <v>0</v>
      </c>
      <c r="Z384" s="124"/>
      <c r="AA384" s="369"/>
      <c r="AB384" s="368">
        <f t="shared" si="261"/>
        <v>0</v>
      </c>
      <c r="AC384" s="124">
        <f t="shared" si="262"/>
        <v>0</v>
      </c>
      <c r="AD384" s="369">
        <f t="shared" si="263"/>
        <v>0</v>
      </c>
      <c r="AF384" s="46">
        <f t="shared" si="231"/>
        <v>0</v>
      </c>
      <c r="AG384" s="46"/>
    </row>
    <row r="385" spans="1:33" s="120" customFormat="1" ht="12.75" customHeight="1">
      <c r="A385" s="354"/>
      <c r="B385" s="115"/>
      <c r="C385" s="371" t="s">
        <v>127</v>
      </c>
      <c r="D385" s="318">
        <v>3891041</v>
      </c>
      <c r="E385" s="118">
        <v>0</v>
      </c>
      <c r="F385" s="119">
        <v>3891041</v>
      </c>
      <c r="G385" s="318">
        <f t="shared" si="248"/>
        <v>0</v>
      </c>
      <c r="H385" s="118"/>
      <c r="I385" s="119"/>
      <c r="J385" s="318">
        <f t="shared" si="249"/>
        <v>3891041</v>
      </c>
      <c r="K385" s="118">
        <f t="shared" si="250"/>
        <v>0</v>
      </c>
      <c r="L385" s="119">
        <f t="shared" si="251"/>
        <v>3891041</v>
      </c>
      <c r="M385" s="318">
        <f t="shared" si="252"/>
        <v>0</v>
      </c>
      <c r="N385" s="118"/>
      <c r="O385" s="119"/>
      <c r="P385" s="318">
        <f t="shared" si="253"/>
        <v>2891041</v>
      </c>
      <c r="Q385" s="118">
        <f t="shared" si="254"/>
        <v>0</v>
      </c>
      <c r="R385" s="119">
        <f>O385+L385-1000000</f>
        <v>2891041</v>
      </c>
      <c r="S385" s="318">
        <f t="shared" si="256"/>
        <v>0</v>
      </c>
      <c r="T385" s="118"/>
      <c r="U385" s="119">
        <v>0</v>
      </c>
      <c r="V385" s="318">
        <f t="shared" si="257"/>
        <v>2891041</v>
      </c>
      <c r="W385" s="118">
        <f t="shared" si="258"/>
        <v>0</v>
      </c>
      <c r="X385" s="119">
        <f t="shared" si="259"/>
        <v>2891041</v>
      </c>
      <c r="Y385" s="318">
        <f t="shared" si="260"/>
        <v>0</v>
      </c>
      <c r="Z385" s="118"/>
      <c r="AA385" s="119"/>
      <c r="AB385" s="318">
        <f t="shared" si="261"/>
        <v>2891041</v>
      </c>
      <c r="AC385" s="118">
        <f t="shared" si="262"/>
        <v>0</v>
      </c>
      <c r="AD385" s="119">
        <f t="shared" si="263"/>
        <v>2891041</v>
      </c>
      <c r="AF385" s="46">
        <f t="shared" si="231"/>
        <v>0</v>
      </c>
      <c r="AG385" s="46"/>
    </row>
    <row r="386" spans="1:33" s="370" customFormat="1" ht="11.25" customHeight="1">
      <c r="A386" s="366"/>
      <c r="B386" s="297"/>
      <c r="C386" s="167" t="s">
        <v>42</v>
      </c>
      <c r="D386" s="294">
        <v>2891041</v>
      </c>
      <c r="E386" s="111">
        <v>0</v>
      </c>
      <c r="F386" s="146">
        <v>2891041</v>
      </c>
      <c r="G386" s="294">
        <f t="shared" si="248"/>
        <v>0</v>
      </c>
      <c r="H386" s="111">
        <v>0</v>
      </c>
      <c r="I386" s="146"/>
      <c r="J386" s="294">
        <f t="shared" si="249"/>
        <v>2891041</v>
      </c>
      <c r="K386" s="111">
        <f t="shared" si="250"/>
        <v>0</v>
      </c>
      <c r="L386" s="146">
        <f t="shared" si="251"/>
        <v>2891041</v>
      </c>
      <c r="M386" s="294">
        <f t="shared" si="252"/>
        <v>0</v>
      </c>
      <c r="N386" s="111">
        <v>0</v>
      </c>
      <c r="O386" s="146"/>
      <c r="P386" s="294">
        <f t="shared" si="253"/>
        <v>2891041</v>
      </c>
      <c r="Q386" s="111">
        <f t="shared" si="254"/>
        <v>0</v>
      </c>
      <c r="R386" s="146">
        <f t="shared" si="255"/>
        <v>2891041</v>
      </c>
      <c r="S386" s="294">
        <f t="shared" si="256"/>
        <v>0</v>
      </c>
      <c r="T386" s="111">
        <v>0</v>
      </c>
      <c r="U386" s="146"/>
      <c r="V386" s="294">
        <f t="shared" si="257"/>
        <v>2891041</v>
      </c>
      <c r="W386" s="111">
        <f t="shared" si="258"/>
        <v>0</v>
      </c>
      <c r="X386" s="146">
        <f t="shared" si="259"/>
        <v>2891041</v>
      </c>
      <c r="Y386" s="294">
        <f t="shared" si="260"/>
        <v>0</v>
      </c>
      <c r="Z386" s="111"/>
      <c r="AA386" s="146"/>
      <c r="AB386" s="294">
        <f t="shared" si="261"/>
        <v>2891041</v>
      </c>
      <c r="AC386" s="111">
        <f t="shared" si="262"/>
        <v>0</v>
      </c>
      <c r="AD386" s="146">
        <f t="shared" si="263"/>
        <v>2891041</v>
      </c>
      <c r="AF386" s="46">
        <f t="shared" si="231"/>
        <v>0</v>
      </c>
      <c r="AG386" s="46"/>
    </row>
    <row r="387" spans="1:33" ht="13.5" customHeight="1" hidden="1">
      <c r="A387" s="354"/>
      <c r="B387" s="133">
        <v>700</v>
      </c>
      <c r="C387" s="134" t="s">
        <v>51</v>
      </c>
      <c r="D387" s="75">
        <v>0</v>
      </c>
      <c r="E387" s="76">
        <v>0</v>
      </c>
      <c r="F387" s="135">
        <v>0</v>
      </c>
      <c r="G387" s="75">
        <f aca="true" t="shared" si="264" ref="G387:AD387">G388</f>
        <v>0</v>
      </c>
      <c r="H387" s="76">
        <f t="shared" si="264"/>
        <v>0</v>
      </c>
      <c r="I387" s="135">
        <f t="shared" si="264"/>
        <v>0</v>
      </c>
      <c r="J387" s="75">
        <f t="shared" si="264"/>
        <v>0</v>
      </c>
      <c r="K387" s="76">
        <f t="shared" si="264"/>
        <v>0</v>
      </c>
      <c r="L387" s="135">
        <f t="shared" si="264"/>
        <v>0</v>
      </c>
      <c r="M387" s="75">
        <f t="shared" si="264"/>
        <v>0</v>
      </c>
      <c r="N387" s="76">
        <f t="shared" si="264"/>
        <v>0</v>
      </c>
      <c r="O387" s="135">
        <f t="shared" si="264"/>
        <v>0</v>
      </c>
      <c r="P387" s="75">
        <f t="shared" si="264"/>
        <v>0</v>
      </c>
      <c r="Q387" s="76">
        <f t="shared" si="264"/>
        <v>0</v>
      </c>
      <c r="R387" s="135">
        <f t="shared" si="264"/>
        <v>0</v>
      </c>
      <c r="S387" s="75">
        <f t="shared" si="264"/>
        <v>0</v>
      </c>
      <c r="T387" s="76">
        <f t="shared" si="264"/>
        <v>0</v>
      </c>
      <c r="U387" s="135">
        <f t="shared" si="264"/>
        <v>0</v>
      </c>
      <c r="V387" s="75">
        <f t="shared" si="264"/>
        <v>0</v>
      </c>
      <c r="W387" s="76">
        <f t="shared" si="264"/>
        <v>0</v>
      </c>
      <c r="X387" s="135">
        <f t="shared" si="264"/>
        <v>0</v>
      </c>
      <c r="Y387" s="75">
        <f t="shared" si="264"/>
        <v>0</v>
      </c>
      <c r="Z387" s="76">
        <f t="shared" si="264"/>
        <v>0</v>
      </c>
      <c r="AA387" s="135">
        <f t="shared" si="264"/>
        <v>0</v>
      </c>
      <c r="AB387" s="75">
        <f t="shared" si="264"/>
        <v>0</v>
      </c>
      <c r="AC387" s="76">
        <f t="shared" si="264"/>
        <v>0</v>
      </c>
      <c r="AD387" s="135">
        <f t="shared" si="264"/>
        <v>0</v>
      </c>
      <c r="AF387" s="46">
        <f t="shared" si="231"/>
        <v>0</v>
      </c>
      <c r="AG387" s="46"/>
    </row>
    <row r="388" spans="1:33" ht="12.75" hidden="1">
      <c r="A388" s="354"/>
      <c r="B388" s="140">
        <v>70095</v>
      </c>
      <c r="C388" s="129" t="s">
        <v>249</v>
      </c>
      <c r="D388" s="112">
        <v>0</v>
      </c>
      <c r="E388" s="113">
        <v>0</v>
      </c>
      <c r="F388" s="150">
        <v>0</v>
      </c>
      <c r="G388" s="112">
        <f>H388+I388</f>
        <v>0</v>
      </c>
      <c r="H388" s="113">
        <v>0</v>
      </c>
      <c r="I388" s="150">
        <v>0</v>
      </c>
      <c r="J388" s="112">
        <f>K388+L388</f>
        <v>0</v>
      </c>
      <c r="K388" s="113">
        <v>0</v>
      </c>
      <c r="L388" s="150">
        <v>0</v>
      </c>
      <c r="M388" s="112">
        <f>N388+O388</f>
        <v>0</v>
      </c>
      <c r="N388" s="113">
        <v>0</v>
      </c>
      <c r="O388" s="150">
        <v>0</v>
      </c>
      <c r="P388" s="112">
        <f>Q388+R388</f>
        <v>0</v>
      </c>
      <c r="Q388" s="113">
        <v>0</v>
      </c>
      <c r="R388" s="150">
        <v>0</v>
      </c>
      <c r="S388" s="112">
        <f>T388+U388</f>
        <v>0</v>
      </c>
      <c r="T388" s="113">
        <v>0</v>
      </c>
      <c r="U388" s="150">
        <v>0</v>
      </c>
      <c r="V388" s="112">
        <f>W388+X388</f>
        <v>0</v>
      </c>
      <c r="W388" s="113">
        <v>0</v>
      </c>
      <c r="X388" s="150">
        <v>0</v>
      </c>
      <c r="Y388" s="112">
        <f>Z388+AA388</f>
        <v>0</v>
      </c>
      <c r="Z388" s="113">
        <v>0</v>
      </c>
      <c r="AA388" s="150">
        <v>0</v>
      </c>
      <c r="AB388" s="112">
        <f>AC388+AD388</f>
        <v>0</v>
      </c>
      <c r="AC388" s="113">
        <v>0</v>
      </c>
      <c r="AD388" s="150">
        <v>0</v>
      </c>
      <c r="AF388" s="46">
        <f t="shared" si="231"/>
        <v>0</v>
      </c>
      <c r="AG388" s="46"/>
    </row>
    <row r="389" spans="1:33" ht="12.75">
      <c r="A389" s="354"/>
      <c r="B389" s="101">
        <v>710</v>
      </c>
      <c r="C389" s="149" t="s">
        <v>56</v>
      </c>
      <c r="D389" s="103">
        <v>550000</v>
      </c>
      <c r="E389" s="104">
        <v>550000</v>
      </c>
      <c r="F389" s="105">
        <v>0</v>
      </c>
      <c r="G389" s="103">
        <f aca="true" t="shared" si="265" ref="G389:AD389">G390</f>
        <v>0</v>
      </c>
      <c r="H389" s="104">
        <f t="shared" si="265"/>
        <v>0</v>
      </c>
      <c r="I389" s="105">
        <f t="shared" si="265"/>
        <v>0</v>
      </c>
      <c r="J389" s="103">
        <f t="shared" si="265"/>
        <v>550000</v>
      </c>
      <c r="K389" s="104">
        <f t="shared" si="265"/>
        <v>550000</v>
      </c>
      <c r="L389" s="105">
        <f t="shared" si="265"/>
        <v>0</v>
      </c>
      <c r="M389" s="103">
        <f t="shared" si="265"/>
        <v>0</v>
      </c>
      <c r="N389" s="104">
        <f t="shared" si="265"/>
        <v>0</v>
      </c>
      <c r="O389" s="105">
        <f t="shared" si="265"/>
        <v>0</v>
      </c>
      <c r="P389" s="103">
        <f t="shared" si="265"/>
        <v>550000</v>
      </c>
      <c r="Q389" s="104">
        <f t="shared" si="265"/>
        <v>550000</v>
      </c>
      <c r="R389" s="105">
        <f t="shared" si="265"/>
        <v>0</v>
      </c>
      <c r="S389" s="103">
        <f t="shared" si="265"/>
        <v>0</v>
      </c>
      <c r="T389" s="104">
        <f t="shared" si="265"/>
        <v>-17700</v>
      </c>
      <c r="U389" s="105">
        <f t="shared" si="265"/>
        <v>17700</v>
      </c>
      <c r="V389" s="103">
        <f t="shared" si="265"/>
        <v>550000</v>
      </c>
      <c r="W389" s="104">
        <f t="shared" si="265"/>
        <v>532300</v>
      </c>
      <c r="X389" s="105">
        <f t="shared" si="265"/>
        <v>17700</v>
      </c>
      <c r="Y389" s="103">
        <f t="shared" si="265"/>
        <v>0</v>
      </c>
      <c r="Z389" s="104">
        <f t="shared" si="265"/>
        <v>0</v>
      </c>
      <c r="AA389" s="105">
        <f t="shared" si="265"/>
        <v>0</v>
      </c>
      <c r="AB389" s="103">
        <f t="shared" si="265"/>
        <v>550000</v>
      </c>
      <c r="AC389" s="104">
        <f t="shared" si="265"/>
        <v>532300</v>
      </c>
      <c r="AD389" s="105">
        <f t="shared" si="265"/>
        <v>17700</v>
      </c>
      <c r="AF389" s="46">
        <f t="shared" si="231"/>
        <v>0</v>
      </c>
      <c r="AG389" s="46"/>
    </row>
    <row r="390" spans="1:33" ht="13.5" customHeight="1" thickBot="1">
      <c r="A390" s="354"/>
      <c r="B390" s="372">
        <v>71015</v>
      </c>
      <c r="C390" s="373" t="s">
        <v>250</v>
      </c>
      <c r="D390" s="154">
        <v>550000</v>
      </c>
      <c r="E390" s="155">
        <v>550000</v>
      </c>
      <c r="F390" s="253">
        <v>0</v>
      </c>
      <c r="G390" s="154">
        <f aca="true" t="shared" si="266" ref="G390:G413">H390+I390</f>
        <v>0</v>
      </c>
      <c r="H390" s="155"/>
      <c r="I390" s="253">
        <v>0</v>
      </c>
      <c r="J390" s="154">
        <f aca="true" t="shared" si="267" ref="J390:J413">K390+L390</f>
        <v>550000</v>
      </c>
      <c r="K390" s="155">
        <f>E390+H390</f>
        <v>550000</v>
      </c>
      <c r="L390" s="253">
        <f>I390+F390</f>
        <v>0</v>
      </c>
      <c r="M390" s="154">
        <f aca="true" t="shared" si="268" ref="M390:M413">N390+O390</f>
        <v>0</v>
      </c>
      <c r="N390" s="155"/>
      <c r="O390" s="253">
        <v>0</v>
      </c>
      <c r="P390" s="154">
        <f aca="true" t="shared" si="269" ref="P390:P413">Q390+R390</f>
        <v>550000</v>
      </c>
      <c r="Q390" s="155">
        <f>K390+N390</f>
        <v>550000</v>
      </c>
      <c r="R390" s="253">
        <f>O390+L390</f>
        <v>0</v>
      </c>
      <c r="S390" s="154">
        <f aca="true" t="shared" si="270" ref="S390:S413">T390+U390</f>
        <v>0</v>
      </c>
      <c r="T390" s="155">
        <v>-17700</v>
      </c>
      <c r="U390" s="253">
        <v>17700</v>
      </c>
      <c r="V390" s="154">
        <f aca="true" t="shared" si="271" ref="V390:V413">W390+X390</f>
        <v>550000</v>
      </c>
      <c r="W390" s="155">
        <f>Q390+T390</f>
        <v>532300</v>
      </c>
      <c r="X390" s="253">
        <f>U390+R390</f>
        <v>17700</v>
      </c>
      <c r="Y390" s="154">
        <f aca="true" t="shared" si="272" ref="Y390:Y413">Z390+AA390</f>
        <v>0</v>
      </c>
      <c r="Z390" s="155"/>
      <c r="AA390" s="253"/>
      <c r="AB390" s="154">
        <f aca="true" t="shared" si="273" ref="AB390:AB413">AC390+AD390</f>
        <v>550000</v>
      </c>
      <c r="AC390" s="155">
        <f>W390+Z390</f>
        <v>532300</v>
      </c>
      <c r="AD390" s="253">
        <f>AA390+X390</f>
        <v>17700</v>
      </c>
      <c r="AF390" s="46">
        <f t="shared" si="231"/>
        <v>0</v>
      </c>
      <c r="AG390" s="46"/>
    </row>
    <row r="391" spans="1:33" ht="12.75">
      <c r="A391" s="354"/>
      <c r="B391" s="73">
        <v>750</v>
      </c>
      <c r="C391" s="134" t="s">
        <v>65</v>
      </c>
      <c r="D391" s="75">
        <v>85000</v>
      </c>
      <c r="E391" s="76">
        <v>85000</v>
      </c>
      <c r="F391" s="158">
        <v>0</v>
      </c>
      <c r="G391" s="75">
        <f t="shared" si="266"/>
        <v>0</v>
      </c>
      <c r="H391" s="76">
        <f>H392</f>
        <v>0</v>
      </c>
      <c r="I391" s="158">
        <f>I392</f>
        <v>0</v>
      </c>
      <c r="J391" s="75">
        <f t="shared" si="267"/>
        <v>85000</v>
      </c>
      <c r="K391" s="76">
        <f>K392</f>
        <v>85000</v>
      </c>
      <c r="L391" s="158">
        <f>L392</f>
        <v>0</v>
      </c>
      <c r="M391" s="75">
        <f t="shared" si="268"/>
        <v>0</v>
      </c>
      <c r="N391" s="76">
        <f>N392</f>
        <v>0</v>
      </c>
      <c r="O391" s="158">
        <f>O392</f>
        <v>0</v>
      </c>
      <c r="P391" s="75">
        <f t="shared" si="269"/>
        <v>85000</v>
      </c>
      <c r="Q391" s="76">
        <f>Q392</f>
        <v>85000</v>
      </c>
      <c r="R391" s="158">
        <f>R392</f>
        <v>0</v>
      </c>
      <c r="S391" s="75">
        <f t="shared" si="270"/>
        <v>0</v>
      </c>
      <c r="T391" s="76">
        <f>T392</f>
        <v>0</v>
      </c>
      <c r="U391" s="158">
        <f>U392</f>
        <v>0</v>
      </c>
      <c r="V391" s="75">
        <f t="shared" si="271"/>
        <v>85000</v>
      </c>
      <c r="W391" s="76">
        <f>W392</f>
        <v>85000</v>
      </c>
      <c r="X391" s="158">
        <f>X392</f>
        <v>0</v>
      </c>
      <c r="Y391" s="75">
        <f t="shared" si="272"/>
        <v>0</v>
      </c>
      <c r="Z391" s="76">
        <f>Z392</f>
        <v>0</v>
      </c>
      <c r="AA391" s="158">
        <f>AA392</f>
        <v>0</v>
      </c>
      <c r="AB391" s="75">
        <f t="shared" si="273"/>
        <v>85000</v>
      </c>
      <c r="AC391" s="76">
        <f>AC392</f>
        <v>85000</v>
      </c>
      <c r="AD391" s="158">
        <f>AD392</f>
        <v>0</v>
      </c>
      <c r="AF391" s="46">
        <f t="shared" si="231"/>
        <v>0</v>
      </c>
      <c r="AG391" s="46"/>
    </row>
    <row r="392" spans="1:33" ht="12.75">
      <c r="A392" s="354"/>
      <c r="B392" s="106">
        <v>75045</v>
      </c>
      <c r="C392" s="83" t="s">
        <v>251</v>
      </c>
      <c r="D392" s="80">
        <v>85000</v>
      </c>
      <c r="E392" s="138">
        <v>85000</v>
      </c>
      <c r="F392" s="150">
        <v>0</v>
      </c>
      <c r="G392" s="80">
        <f t="shared" si="266"/>
        <v>0</v>
      </c>
      <c r="H392" s="138"/>
      <c r="I392" s="150">
        <v>0</v>
      </c>
      <c r="J392" s="80">
        <f t="shared" si="267"/>
        <v>85000</v>
      </c>
      <c r="K392" s="138">
        <f>E392+H392</f>
        <v>85000</v>
      </c>
      <c r="L392" s="150">
        <f>I392+F392</f>
        <v>0</v>
      </c>
      <c r="M392" s="80">
        <f t="shared" si="268"/>
        <v>0</v>
      </c>
      <c r="N392" s="138"/>
      <c r="O392" s="150">
        <v>0</v>
      </c>
      <c r="P392" s="80">
        <f t="shared" si="269"/>
        <v>85000</v>
      </c>
      <c r="Q392" s="138">
        <f>K392+N392</f>
        <v>85000</v>
      </c>
      <c r="R392" s="150">
        <f>O392+L392</f>
        <v>0</v>
      </c>
      <c r="S392" s="80">
        <f t="shared" si="270"/>
        <v>0</v>
      </c>
      <c r="T392" s="138"/>
      <c r="U392" s="150">
        <v>0</v>
      </c>
      <c r="V392" s="80">
        <f t="shared" si="271"/>
        <v>85000</v>
      </c>
      <c r="W392" s="138">
        <f>Q392+T392</f>
        <v>85000</v>
      </c>
      <c r="X392" s="150">
        <f>U392+R392</f>
        <v>0</v>
      </c>
      <c r="Y392" s="80">
        <f t="shared" si="272"/>
        <v>0</v>
      </c>
      <c r="Z392" s="138"/>
      <c r="AA392" s="150">
        <v>0</v>
      </c>
      <c r="AB392" s="80">
        <f t="shared" si="273"/>
        <v>85000</v>
      </c>
      <c r="AC392" s="138">
        <f>W392+Z392</f>
        <v>85000</v>
      </c>
      <c r="AD392" s="150">
        <f>AA392+X392</f>
        <v>0</v>
      </c>
      <c r="AF392" s="46">
        <f t="shared" si="231"/>
        <v>0</v>
      </c>
      <c r="AG392" s="46"/>
    </row>
    <row r="393" spans="1:33" ht="12.75">
      <c r="A393" s="354"/>
      <c r="B393" s="101">
        <v>754</v>
      </c>
      <c r="C393" s="107" t="s">
        <v>228</v>
      </c>
      <c r="D393" s="103">
        <v>9614784</v>
      </c>
      <c r="E393" s="104">
        <v>2373300</v>
      </c>
      <c r="F393" s="171">
        <v>7241484</v>
      </c>
      <c r="G393" s="103">
        <f t="shared" si="266"/>
        <v>1013443</v>
      </c>
      <c r="H393" s="104">
        <f>+H395+H397+H398+H394</f>
        <v>613443</v>
      </c>
      <c r="I393" s="171">
        <f>+I395+I397+I398+I394</f>
        <v>400000</v>
      </c>
      <c r="J393" s="103">
        <f t="shared" si="267"/>
        <v>10628227</v>
      </c>
      <c r="K393" s="104">
        <f>+K395+K397+K398+K394</f>
        <v>2986743</v>
      </c>
      <c r="L393" s="171">
        <f>+L395+L397+L398+L394</f>
        <v>7641484</v>
      </c>
      <c r="M393" s="103">
        <f t="shared" si="268"/>
        <v>0</v>
      </c>
      <c r="N393" s="104">
        <f>+N395+N397+N398+N394</f>
        <v>0</v>
      </c>
      <c r="O393" s="171">
        <f>+O395+O397+O398+O394</f>
        <v>0</v>
      </c>
      <c r="P393" s="103">
        <f t="shared" si="269"/>
        <v>10628227</v>
      </c>
      <c r="Q393" s="104">
        <f>+Q395+Q397+Q398+Q394</f>
        <v>2986743</v>
      </c>
      <c r="R393" s="171">
        <f>+R395+R397+R398+R394</f>
        <v>7641484</v>
      </c>
      <c r="S393" s="103">
        <f t="shared" si="270"/>
        <v>372779</v>
      </c>
      <c r="T393" s="104">
        <f>+T395+T397+T398+T394</f>
        <v>232229</v>
      </c>
      <c r="U393" s="171">
        <f>+U395+U397+U398+U394</f>
        <v>140550</v>
      </c>
      <c r="V393" s="103">
        <f t="shared" si="271"/>
        <v>11001006</v>
      </c>
      <c r="W393" s="104">
        <f>+W395+W397+W398+W394</f>
        <v>3218972</v>
      </c>
      <c r="X393" s="171">
        <f>+X395+X397+X398+X394</f>
        <v>7782034</v>
      </c>
      <c r="Y393" s="103">
        <f t="shared" si="272"/>
        <v>0</v>
      </c>
      <c r="Z393" s="104">
        <f>+Z395+Z397+Z398+Z394</f>
        <v>0</v>
      </c>
      <c r="AA393" s="171">
        <f>+AA395+AA397+AA398+AA394</f>
        <v>0</v>
      </c>
      <c r="AB393" s="103">
        <f t="shared" si="273"/>
        <v>11001006</v>
      </c>
      <c r="AC393" s="104">
        <f>+AC395+AC397+AC398+AC394</f>
        <v>3218972</v>
      </c>
      <c r="AD393" s="171">
        <f>+AD395+AD397+AD398+AD394</f>
        <v>7782034</v>
      </c>
      <c r="AF393" s="46">
        <f t="shared" si="231"/>
        <v>0</v>
      </c>
      <c r="AG393" s="46"/>
    </row>
    <row r="394" spans="1:33" ht="12.75">
      <c r="A394" s="354"/>
      <c r="B394" s="136">
        <v>75404</v>
      </c>
      <c r="C394" s="137" t="s">
        <v>252</v>
      </c>
      <c r="D394" s="80">
        <v>2273000</v>
      </c>
      <c r="E394" s="138">
        <v>1750000</v>
      </c>
      <c r="F394" s="139">
        <v>523000</v>
      </c>
      <c r="G394" s="80">
        <f t="shared" si="266"/>
        <v>612000</v>
      </c>
      <c r="H394" s="138">
        <f>600000+12000</f>
        <v>612000</v>
      </c>
      <c r="I394" s="139"/>
      <c r="J394" s="80">
        <f t="shared" si="267"/>
        <v>2885000</v>
      </c>
      <c r="K394" s="138">
        <f aca="true" t="shared" si="274" ref="K394:K399">E394+H394</f>
        <v>2362000</v>
      </c>
      <c r="L394" s="139">
        <f aca="true" t="shared" si="275" ref="L394:L399">I394+F394</f>
        <v>523000</v>
      </c>
      <c r="M394" s="80">
        <f t="shared" si="268"/>
        <v>0</v>
      </c>
      <c r="N394" s="138">
        <v>0</v>
      </c>
      <c r="O394" s="139"/>
      <c r="P394" s="80">
        <f t="shared" si="269"/>
        <v>2885000</v>
      </c>
      <c r="Q394" s="138">
        <f aca="true" t="shared" si="276" ref="Q394:Q399">K394+N394</f>
        <v>2362000</v>
      </c>
      <c r="R394" s="139">
        <f aca="true" t="shared" si="277" ref="R394:R399">O394+L394</f>
        <v>523000</v>
      </c>
      <c r="S394" s="80">
        <f t="shared" si="270"/>
        <v>63300</v>
      </c>
      <c r="T394" s="138">
        <f>173000+30750</f>
        <v>203750</v>
      </c>
      <c r="U394" s="139">
        <f>4550+7000-173000+21000</f>
        <v>-140450</v>
      </c>
      <c r="V394" s="80">
        <f t="shared" si="271"/>
        <v>2948300</v>
      </c>
      <c r="W394" s="138">
        <f aca="true" t="shared" si="278" ref="W394:W399">Q394+T394</f>
        <v>2565750</v>
      </c>
      <c r="X394" s="139">
        <f aca="true" t="shared" si="279" ref="X394:X399">U394+R394</f>
        <v>382550</v>
      </c>
      <c r="Y394" s="80">
        <f t="shared" si="272"/>
        <v>0</v>
      </c>
      <c r="Z394" s="138"/>
      <c r="AA394" s="139"/>
      <c r="AB394" s="80">
        <f t="shared" si="273"/>
        <v>2948300</v>
      </c>
      <c r="AC394" s="138">
        <f aca="true" t="shared" si="280" ref="AC394:AC399">W394+Z394</f>
        <v>2565750</v>
      </c>
      <c r="AD394" s="139">
        <f aca="true" t="shared" si="281" ref="AD394:AD399">AA394+X394</f>
        <v>382550</v>
      </c>
      <c r="AF394" s="46">
        <f t="shared" si="231"/>
        <v>0</v>
      </c>
      <c r="AG394" s="46"/>
    </row>
    <row r="395" spans="1:33" ht="12.75">
      <c r="A395" s="354"/>
      <c r="B395" s="136">
        <v>75411</v>
      </c>
      <c r="C395" s="83" t="s">
        <v>253</v>
      </c>
      <c r="D395" s="80">
        <v>850000</v>
      </c>
      <c r="E395" s="138">
        <v>0</v>
      </c>
      <c r="F395" s="139">
        <v>850000</v>
      </c>
      <c r="G395" s="80">
        <f t="shared" si="266"/>
        <v>0</v>
      </c>
      <c r="H395" s="138">
        <v>0</v>
      </c>
      <c r="I395" s="139"/>
      <c r="J395" s="80">
        <f t="shared" si="267"/>
        <v>850000</v>
      </c>
      <c r="K395" s="138">
        <f t="shared" si="274"/>
        <v>0</v>
      </c>
      <c r="L395" s="139">
        <f t="shared" si="275"/>
        <v>850000</v>
      </c>
      <c r="M395" s="80">
        <f t="shared" si="268"/>
        <v>0</v>
      </c>
      <c r="N395" s="138">
        <v>0</v>
      </c>
      <c r="O395" s="139"/>
      <c r="P395" s="80">
        <f t="shared" si="269"/>
        <v>850000</v>
      </c>
      <c r="Q395" s="138">
        <f t="shared" si="276"/>
        <v>0</v>
      </c>
      <c r="R395" s="139">
        <f t="shared" si="277"/>
        <v>850000</v>
      </c>
      <c r="S395" s="80">
        <f t="shared" si="270"/>
        <v>209479</v>
      </c>
      <c r="T395" s="138">
        <f>2979+5500</f>
        <v>8479</v>
      </c>
      <c r="U395" s="139">
        <v>201000</v>
      </c>
      <c r="V395" s="80">
        <f t="shared" si="271"/>
        <v>1059479</v>
      </c>
      <c r="W395" s="138">
        <f t="shared" si="278"/>
        <v>8479</v>
      </c>
      <c r="X395" s="139">
        <f t="shared" si="279"/>
        <v>1051000</v>
      </c>
      <c r="Y395" s="80">
        <f t="shared" si="272"/>
        <v>0</v>
      </c>
      <c r="Z395" s="138"/>
      <c r="AA395" s="139"/>
      <c r="AB395" s="80">
        <f t="shared" si="273"/>
        <v>1059479</v>
      </c>
      <c r="AC395" s="138">
        <f t="shared" si="280"/>
        <v>8479</v>
      </c>
      <c r="AD395" s="139">
        <f t="shared" si="281"/>
        <v>1051000</v>
      </c>
      <c r="AF395" s="46">
        <f t="shared" si="231"/>
        <v>0</v>
      </c>
      <c r="AG395" s="46"/>
    </row>
    <row r="396" spans="1:33" s="100" customFormat="1" ht="12.75">
      <c r="A396" s="366"/>
      <c r="B396" s="297"/>
      <c r="C396" s="96" t="s">
        <v>39</v>
      </c>
      <c r="D396" s="97">
        <v>0</v>
      </c>
      <c r="E396" s="111">
        <v>0</v>
      </c>
      <c r="F396" s="127">
        <v>0</v>
      </c>
      <c r="G396" s="97">
        <f t="shared" si="266"/>
        <v>0</v>
      </c>
      <c r="H396" s="111">
        <v>0</v>
      </c>
      <c r="I396" s="127"/>
      <c r="J396" s="97">
        <f t="shared" si="267"/>
        <v>0</v>
      </c>
      <c r="K396" s="111">
        <f t="shared" si="274"/>
        <v>0</v>
      </c>
      <c r="L396" s="127">
        <f t="shared" si="275"/>
        <v>0</v>
      </c>
      <c r="M396" s="97">
        <f t="shared" si="268"/>
        <v>0</v>
      </c>
      <c r="N396" s="111">
        <v>0</v>
      </c>
      <c r="O396" s="127"/>
      <c r="P396" s="97">
        <f t="shared" si="269"/>
        <v>0</v>
      </c>
      <c r="Q396" s="111">
        <f t="shared" si="276"/>
        <v>0</v>
      </c>
      <c r="R396" s="127">
        <f t="shared" si="277"/>
        <v>0</v>
      </c>
      <c r="S396" s="97">
        <f t="shared" si="270"/>
        <v>206500</v>
      </c>
      <c r="T396" s="111">
        <v>5500</v>
      </c>
      <c r="U396" s="127">
        <v>201000</v>
      </c>
      <c r="V396" s="97">
        <f t="shared" si="271"/>
        <v>206500</v>
      </c>
      <c r="W396" s="111">
        <f t="shared" si="278"/>
        <v>5500</v>
      </c>
      <c r="X396" s="127">
        <f t="shared" si="279"/>
        <v>201000</v>
      </c>
      <c r="Y396" s="97">
        <f t="shared" si="272"/>
        <v>0</v>
      </c>
      <c r="Z396" s="111"/>
      <c r="AA396" s="127"/>
      <c r="AB396" s="97">
        <f t="shared" si="273"/>
        <v>206500</v>
      </c>
      <c r="AC396" s="111">
        <f t="shared" si="280"/>
        <v>5500</v>
      </c>
      <c r="AD396" s="127">
        <f t="shared" si="281"/>
        <v>201000</v>
      </c>
      <c r="AF396" s="46">
        <f t="shared" si="231"/>
        <v>0</v>
      </c>
      <c r="AG396" s="46"/>
    </row>
    <row r="397" spans="1:33" ht="12.75" customHeight="1">
      <c r="A397" s="354"/>
      <c r="B397" s="136">
        <v>75414</v>
      </c>
      <c r="C397" s="137" t="s">
        <v>78</v>
      </c>
      <c r="D397" s="112">
        <v>6052484</v>
      </c>
      <c r="E397" s="142">
        <v>184000</v>
      </c>
      <c r="F397" s="139">
        <v>5868484</v>
      </c>
      <c r="G397" s="112">
        <f t="shared" si="266"/>
        <v>400000</v>
      </c>
      <c r="H397" s="142"/>
      <c r="I397" s="139">
        <v>400000</v>
      </c>
      <c r="J397" s="112">
        <f t="shared" si="267"/>
        <v>6452484</v>
      </c>
      <c r="K397" s="142">
        <f t="shared" si="274"/>
        <v>184000</v>
      </c>
      <c r="L397" s="139">
        <f t="shared" si="275"/>
        <v>6268484</v>
      </c>
      <c r="M397" s="112">
        <f t="shared" si="268"/>
        <v>0</v>
      </c>
      <c r="N397" s="142"/>
      <c r="O397" s="139">
        <v>0</v>
      </c>
      <c r="P397" s="112">
        <f t="shared" si="269"/>
        <v>6452484</v>
      </c>
      <c r="Q397" s="142">
        <f t="shared" si="276"/>
        <v>184000</v>
      </c>
      <c r="R397" s="139">
        <f t="shared" si="277"/>
        <v>6268484</v>
      </c>
      <c r="S397" s="112">
        <f t="shared" si="270"/>
        <v>100000</v>
      </c>
      <c r="T397" s="142">
        <v>20000</v>
      </c>
      <c r="U397" s="139">
        <f>-20000+100000</f>
        <v>80000</v>
      </c>
      <c r="V397" s="112">
        <f t="shared" si="271"/>
        <v>6552484</v>
      </c>
      <c r="W397" s="142">
        <f t="shared" si="278"/>
        <v>204000</v>
      </c>
      <c r="X397" s="139">
        <f t="shared" si="279"/>
        <v>6348484</v>
      </c>
      <c r="Y397" s="112">
        <f t="shared" si="272"/>
        <v>0</v>
      </c>
      <c r="Z397" s="142"/>
      <c r="AA397" s="139"/>
      <c r="AB397" s="112">
        <f t="shared" si="273"/>
        <v>6552484</v>
      </c>
      <c r="AC397" s="142">
        <f t="shared" si="280"/>
        <v>204000</v>
      </c>
      <c r="AD397" s="139">
        <f t="shared" si="281"/>
        <v>6348484</v>
      </c>
      <c r="AF397" s="46">
        <f t="shared" si="231"/>
        <v>0</v>
      </c>
      <c r="AG397" s="46"/>
    </row>
    <row r="398" spans="1:33" ht="12.75">
      <c r="A398" s="354"/>
      <c r="B398" s="254">
        <v>75495</v>
      </c>
      <c r="C398" s="221" t="s">
        <v>29</v>
      </c>
      <c r="D398" s="112">
        <v>439300</v>
      </c>
      <c r="E398" s="142">
        <v>439300</v>
      </c>
      <c r="F398" s="150">
        <v>0</v>
      </c>
      <c r="G398" s="112">
        <f t="shared" si="266"/>
        <v>1443</v>
      </c>
      <c r="H398" s="142">
        <f>H399</f>
        <v>1443</v>
      </c>
      <c r="I398" s="150">
        <v>0</v>
      </c>
      <c r="J398" s="112">
        <f t="shared" si="267"/>
        <v>440743</v>
      </c>
      <c r="K398" s="142">
        <f t="shared" si="274"/>
        <v>440743</v>
      </c>
      <c r="L398" s="150">
        <f t="shared" si="275"/>
        <v>0</v>
      </c>
      <c r="M398" s="112">
        <f t="shared" si="268"/>
        <v>0</v>
      </c>
      <c r="N398" s="142">
        <f>N399</f>
        <v>0</v>
      </c>
      <c r="O398" s="150">
        <v>0</v>
      </c>
      <c r="P398" s="112">
        <f t="shared" si="269"/>
        <v>440743</v>
      </c>
      <c r="Q398" s="142">
        <f t="shared" si="276"/>
        <v>440743</v>
      </c>
      <c r="R398" s="150">
        <f t="shared" si="277"/>
        <v>0</v>
      </c>
      <c r="S398" s="112">
        <f t="shared" si="270"/>
        <v>0</v>
      </c>
      <c r="T398" s="142">
        <f>T399</f>
        <v>0</v>
      </c>
      <c r="U398" s="150">
        <v>0</v>
      </c>
      <c r="V398" s="112">
        <f t="shared" si="271"/>
        <v>440743</v>
      </c>
      <c r="W398" s="142">
        <f t="shared" si="278"/>
        <v>440743</v>
      </c>
      <c r="X398" s="150">
        <f t="shared" si="279"/>
        <v>0</v>
      </c>
      <c r="Y398" s="112">
        <f t="shared" si="272"/>
        <v>0</v>
      </c>
      <c r="Z398" s="142">
        <f>Z399</f>
        <v>0</v>
      </c>
      <c r="AA398" s="150">
        <v>0</v>
      </c>
      <c r="AB398" s="112">
        <f t="shared" si="273"/>
        <v>440743</v>
      </c>
      <c r="AC398" s="142">
        <f t="shared" si="280"/>
        <v>440743</v>
      </c>
      <c r="AD398" s="150">
        <f t="shared" si="281"/>
        <v>0</v>
      </c>
      <c r="AF398" s="46">
        <f t="shared" si="231"/>
        <v>0</v>
      </c>
      <c r="AG398" s="46"/>
    </row>
    <row r="399" spans="1:33" s="100" customFormat="1" ht="13.5" customHeight="1">
      <c r="A399" s="366"/>
      <c r="B399" s="166"/>
      <c r="C399" s="172" t="s">
        <v>42</v>
      </c>
      <c r="D399" s="280">
        <v>127300</v>
      </c>
      <c r="E399" s="169">
        <v>127300</v>
      </c>
      <c r="F399" s="284">
        <v>0</v>
      </c>
      <c r="G399" s="280">
        <f t="shared" si="266"/>
        <v>1443</v>
      </c>
      <c r="H399" s="169">
        <v>1443</v>
      </c>
      <c r="I399" s="284">
        <v>0</v>
      </c>
      <c r="J399" s="280">
        <f t="shared" si="267"/>
        <v>128743</v>
      </c>
      <c r="K399" s="169">
        <f t="shared" si="274"/>
        <v>128743</v>
      </c>
      <c r="L399" s="284">
        <f t="shared" si="275"/>
        <v>0</v>
      </c>
      <c r="M399" s="280">
        <f t="shared" si="268"/>
        <v>0</v>
      </c>
      <c r="N399" s="169">
        <v>0</v>
      </c>
      <c r="O399" s="284">
        <v>0</v>
      </c>
      <c r="P399" s="280">
        <f t="shared" si="269"/>
        <v>128743</v>
      </c>
      <c r="Q399" s="169">
        <f t="shared" si="276"/>
        <v>128743</v>
      </c>
      <c r="R399" s="284">
        <f t="shared" si="277"/>
        <v>0</v>
      </c>
      <c r="S399" s="280">
        <f t="shared" si="270"/>
        <v>0</v>
      </c>
      <c r="T399" s="169">
        <v>0</v>
      </c>
      <c r="U399" s="284">
        <v>0</v>
      </c>
      <c r="V399" s="280">
        <f t="shared" si="271"/>
        <v>128743</v>
      </c>
      <c r="W399" s="169">
        <f t="shared" si="278"/>
        <v>128743</v>
      </c>
      <c r="X399" s="284">
        <f t="shared" si="279"/>
        <v>0</v>
      </c>
      <c r="Y399" s="280">
        <f t="shared" si="272"/>
        <v>0</v>
      </c>
      <c r="Z399" s="169"/>
      <c r="AA399" s="284"/>
      <c r="AB399" s="280">
        <f t="shared" si="273"/>
        <v>128743</v>
      </c>
      <c r="AC399" s="169">
        <f t="shared" si="280"/>
        <v>128743</v>
      </c>
      <c r="AD399" s="284">
        <f t="shared" si="281"/>
        <v>0</v>
      </c>
      <c r="AF399" s="46">
        <f t="shared" si="231"/>
        <v>0</v>
      </c>
      <c r="AG399" s="46"/>
    </row>
    <row r="400" spans="1:33" ht="12.75">
      <c r="A400" s="354"/>
      <c r="B400" s="133">
        <v>758</v>
      </c>
      <c r="C400" s="134" t="s">
        <v>88</v>
      </c>
      <c r="D400" s="75">
        <v>56740882</v>
      </c>
      <c r="E400" s="76">
        <v>56740882</v>
      </c>
      <c r="F400" s="171">
        <v>0</v>
      </c>
      <c r="G400" s="75">
        <f t="shared" si="266"/>
        <v>0</v>
      </c>
      <c r="H400" s="76">
        <f>H402+H401</f>
        <v>0</v>
      </c>
      <c r="I400" s="171">
        <f>I402+I401</f>
        <v>0</v>
      </c>
      <c r="J400" s="75">
        <f t="shared" si="267"/>
        <v>56740882</v>
      </c>
      <c r="K400" s="76">
        <f>K402+K401</f>
        <v>56740882</v>
      </c>
      <c r="L400" s="171">
        <f>L402+L401</f>
        <v>0</v>
      </c>
      <c r="M400" s="75">
        <f t="shared" si="268"/>
        <v>0</v>
      </c>
      <c r="N400" s="76">
        <f>N402+N401</f>
        <v>0</v>
      </c>
      <c r="O400" s="171">
        <f>O402+O401</f>
        <v>0</v>
      </c>
      <c r="P400" s="75">
        <f t="shared" si="269"/>
        <v>56740882</v>
      </c>
      <c r="Q400" s="76">
        <f>Q402+Q401</f>
        <v>56740882</v>
      </c>
      <c r="R400" s="171">
        <f>R402+R401</f>
        <v>0</v>
      </c>
      <c r="S400" s="75">
        <f t="shared" si="270"/>
        <v>0</v>
      </c>
      <c r="T400" s="76">
        <f>T402+T401</f>
        <v>0</v>
      </c>
      <c r="U400" s="171">
        <f>U402+U401</f>
        <v>0</v>
      </c>
      <c r="V400" s="75">
        <f t="shared" si="271"/>
        <v>56740882</v>
      </c>
      <c r="W400" s="76">
        <f>W402+W401</f>
        <v>56740882</v>
      </c>
      <c r="X400" s="171">
        <f>X402+X401</f>
        <v>0</v>
      </c>
      <c r="Y400" s="75">
        <f t="shared" si="272"/>
        <v>0</v>
      </c>
      <c r="Z400" s="76">
        <f>Z402+Z401</f>
        <v>0</v>
      </c>
      <c r="AA400" s="171">
        <f>AA402+AA401</f>
        <v>0</v>
      </c>
      <c r="AB400" s="75">
        <f t="shared" si="273"/>
        <v>56740882</v>
      </c>
      <c r="AC400" s="76">
        <f>AC402+AC401</f>
        <v>56740882</v>
      </c>
      <c r="AD400" s="171">
        <f>AD402+AD401</f>
        <v>0</v>
      </c>
      <c r="AF400" s="46">
        <f t="shared" si="231"/>
        <v>0</v>
      </c>
      <c r="AG400" s="46"/>
    </row>
    <row r="401" spans="1:33" ht="22.5" hidden="1">
      <c r="A401" s="354"/>
      <c r="B401" s="106">
        <v>75801</v>
      </c>
      <c r="C401" s="157" t="s">
        <v>89</v>
      </c>
      <c r="D401" s="80">
        <v>0</v>
      </c>
      <c r="E401" s="81">
        <v>0</v>
      </c>
      <c r="F401" s="82">
        <v>0</v>
      </c>
      <c r="G401" s="80">
        <f t="shared" si="266"/>
        <v>0</v>
      </c>
      <c r="H401" s="81">
        <v>0</v>
      </c>
      <c r="I401" s="82">
        <v>0</v>
      </c>
      <c r="J401" s="80">
        <f t="shared" si="267"/>
        <v>0</v>
      </c>
      <c r="K401" s="81">
        <v>0</v>
      </c>
      <c r="L401" s="82">
        <v>0</v>
      </c>
      <c r="M401" s="80">
        <f t="shared" si="268"/>
        <v>0</v>
      </c>
      <c r="N401" s="81">
        <v>0</v>
      </c>
      <c r="O401" s="82">
        <v>0</v>
      </c>
      <c r="P401" s="80">
        <f t="shared" si="269"/>
        <v>0</v>
      </c>
      <c r="Q401" s="81">
        <v>0</v>
      </c>
      <c r="R401" s="82">
        <v>0</v>
      </c>
      <c r="S401" s="80">
        <f t="shared" si="270"/>
        <v>0</v>
      </c>
      <c r="T401" s="81">
        <v>0</v>
      </c>
      <c r="U401" s="82">
        <v>0</v>
      </c>
      <c r="V401" s="80">
        <f t="shared" si="271"/>
        <v>0</v>
      </c>
      <c r="W401" s="81">
        <v>0</v>
      </c>
      <c r="X401" s="82">
        <v>0</v>
      </c>
      <c r="Y401" s="80">
        <f t="shared" si="272"/>
        <v>0</v>
      </c>
      <c r="Z401" s="81">
        <v>0</v>
      </c>
      <c r="AA401" s="82">
        <v>0</v>
      </c>
      <c r="AB401" s="80">
        <f t="shared" si="273"/>
        <v>0</v>
      </c>
      <c r="AC401" s="81">
        <v>0</v>
      </c>
      <c r="AD401" s="82">
        <v>0</v>
      </c>
      <c r="AF401" s="46">
        <f t="shared" si="231"/>
        <v>0</v>
      </c>
      <c r="AG401" s="46"/>
    </row>
    <row r="402" spans="1:33" ht="12.75">
      <c r="A402" s="354"/>
      <c r="B402" s="136">
        <v>75832</v>
      </c>
      <c r="C402" s="79" t="s">
        <v>254</v>
      </c>
      <c r="D402" s="80">
        <v>56740882</v>
      </c>
      <c r="E402" s="138">
        <v>56740882</v>
      </c>
      <c r="F402" s="82">
        <v>0</v>
      </c>
      <c r="G402" s="80">
        <f t="shared" si="266"/>
        <v>0</v>
      </c>
      <c r="H402" s="138"/>
      <c r="I402" s="82">
        <v>0</v>
      </c>
      <c r="J402" s="80">
        <f t="shared" si="267"/>
        <v>56740882</v>
      </c>
      <c r="K402" s="138">
        <f>E402+H402</f>
        <v>56740882</v>
      </c>
      <c r="L402" s="82">
        <f>I402+F402</f>
        <v>0</v>
      </c>
      <c r="M402" s="80">
        <f t="shared" si="268"/>
        <v>0</v>
      </c>
      <c r="N402" s="138"/>
      <c r="O402" s="82">
        <v>0</v>
      </c>
      <c r="P402" s="80">
        <f t="shared" si="269"/>
        <v>56740882</v>
      </c>
      <c r="Q402" s="138">
        <f>K402+N402</f>
        <v>56740882</v>
      </c>
      <c r="R402" s="82">
        <f>O402+L402</f>
        <v>0</v>
      </c>
      <c r="S402" s="80">
        <f t="shared" si="270"/>
        <v>0</v>
      </c>
      <c r="T402" s="138"/>
      <c r="U402" s="82">
        <v>0</v>
      </c>
      <c r="V402" s="80">
        <f t="shared" si="271"/>
        <v>56740882</v>
      </c>
      <c r="W402" s="138">
        <f>Q402+T402</f>
        <v>56740882</v>
      </c>
      <c r="X402" s="82">
        <f>U402+R402</f>
        <v>0</v>
      </c>
      <c r="Y402" s="80">
        <f t="shared" si="272"/>
        <v>0</v>
      </c>
      <c r="Z402" s="138"/>
      <c r="AA402" s="82">
        <v>0</v>
      </c>
      <c r="AB402" s="80">
        <f t="shared" si="273"/>
        <v>56740882</v>
      </c>
      <c r="AC402" s="138">
        <f>W402+Z402</f>
        <v>56740882</v>
      </c>
      <c r="AD402" s="82">
        <f>AA402+X402</f>
        <v>0</v>
      </c>
      <c r="AF402" s="46">
        <f t="shared" si="231"/>
        <v>0</v>
      </c>
      <c r="AG402" s="46"/>
    </row>
    <row r="403" spans="1:33" ht="12.75">
      <c r="A403" s="354"/>
      <c r="B403" s="133">
        <v>801</v>
      </c>
      <c r="C403" s="134" t="s">
        <v>113</v>
      </c>
      <c r="D403" s="75">
        <v>216172314</v>
      </c>
      <c r="E403" s="76">
        <v>211860314</v>
      </c>
      <c r="F403" s="158">
        <v>4312000</v>
      </c>
      <c r="G403" s="75">
        <f t="shared" si="266"/>
        <v>159525</v>
      </c>
      <c r="H403" s="76">
        <f>H404+H408+H411+H414+H418+H424+H430+H433+H435+H439+H438+H420</f>
        <v>102525</v>
      </c>
      <c r="I403" s="158">
        <f>I404+I408+I411+I414+I418+I424+I430+I433+I435+I439+I438+I420</f>
        <v>57000</v>
      </c>
      <c r="J403" s="75">
        <f t="shared" si="267"/>
        <v>216331839</v>
      </c>
      <c r="K403" s="76">
        <f>K404+K408+K411+K414+K418+K424+K430+K433+K435+K439+K438+K420</f>
        <v>211962839</v>
      </c>
      <c r="L403" s="158">
        <f>L404+L408+L411+L414+L418+L424+L430+L433+L435+L439+L438+L420</f>
        <v>4369000</v>
      </c>
      <c r="M403" s="75">
        <f t="shared" si="268"/>
        <v>0</v>
      </c>
      <c r="N403" s="76">
        <f>N404+N408+N411+N414+N418+N424+N430+N433+N435+N439+N438+N420</f>
        <v>0</v>
      </c>
      <c r="O403" s="158">
        <f>O404+O408+O411+O414+O418+O424+O430+O433+O435+O439+O438+O420</f>
        <v>0</v>
      </c>
      <c r="P403" s="75">
        <f t="shared" si="269"/>
        <v>216331839</v>
      </c>
      <c r="Q403" s="76">
        <f>Q404+Q408+Q411+Q414+Q418+Q424+Q430+Q433+Q435+Q439+Q438+Q420</f>
        <v>211962839</v>
      </c>
      <c r="R403" s="158">
        <f>R404+R408+R411+R414+R418+R424+R430+R433+R435+R439+R438+R420</f>
        <v>4369000</v>
      </c>
      <c r="S403" s="75">
        <f t="shared" si="270"/>
        <v>18602980</v>
      </c>
      <c r="T403" s="76">
        <f>T404+T408+T411+T414+T418+T424+T430+T433+T435+T439+T438+T420</f>
        <v>18854980</v>
      </c>
      <c r="U403" s="158">
        <f>U404+U408+U411+U414+U418+U424+U430+U433+U435+U439+U438+U420</f>
        <v>-252000</v>
      </c>
      <c r="V403" s="75">
        <f t="shared" si="271"/>
        <v>234934819</v>
      </c>
      <c r="W403" s="76">
        <f>W404+W408+W411+W414+W418+W424+W430+W433+W435+W439+W438+W420</f>
        <v>230817819</v>
      </c>
      <c r="X403" s="158">
        <f>X404+X408+X411+X414+X418+X424+X430+X433+X435+X439+X438+X420</f>
        <v>4117000</v>
      </c>
      <c r="Y403" s="75">
        <f t="shared" si="272"/>
        <v>-1202828</v>
      </c>
      <c r="Z403" s="76">
        <f>Z404+Z408+Z411+Z414+Z418+Z424+Z430+Z433+Z435+Z439+Z438+Z420</f>
        <v>-1202828</v>
      </c>
      <c r="AA403" s="158">
        <f>AA404+AA408+AA411+AA414+AA418+AA424+AA430+AA433+AA435+AA439+AA438+AA420</f>
        <v>0</v>
      </c>
      <c r="AB403" s="75">
        <f t="shared" si="273"/>
        <v>233731991</v>
      </c>
      <c r="AC403" s="76">
        <f>AC404+AC408+AC411+AC414+AC418+AC424+AC430+AC433+AC435+AC439+AC438+AC420</f>
        <v>229614991</v>
      </c>
      <c r="AD403" s="158">
        <f>AD404+AD408+AD411+AD414+AD418+AD424+AD430+AD433+AD435+AD439+AD438+AD420</f>
        <v>4117000</v>
      </c>
      <c r="AF403" s="46">
        <f t="shared" si="231"/>
        <v>0</v>
      </c>
      <c r="AG403" s="46"/>
    </row>
    <row r="404" spans="1:33" s="120" customFormat="1" ht="14.25" customHeight="1">
      <c r="A404" s="354"/>
      <c r="B404" s="136">
        <v>80102</v>
      </c>
      <c r="C404" s="137" t="s">
        <v>255</v>
      </c>
      <c r="D404" s="165">
        <v>18766195</v>
      </c>
      <c r="E404" s="138">
        <v>18766195</v>
      </c>
      <c r="F404" s="178">
        <v>0</v>
      </c>
      <c r="G404" s="165">
        <f t="shared" si="266"/>
        <v>0</v>
      </c>
      <c r="H404" s="138">
        <f>H405+H407</f>
        <v>0</v>
      </c>
      <c r="I404" s="178">
        <f>I405+I407</f>
        <v>0</v>
      </c>
      <c r="J404" s="165">
        <f t="shared" si="267"/>
        <v>18766195</v>
      </c>
      <c r="K404" s="138">
        <f aca="true" t="shared" si="282" ref="K404:K442">E404+H404</f>
        <v>18766195</v>
      </c>
      <c r="L404" s="178">
        <f aca="true" t="shared" si="283" ref="L404:L442">I404+F404</f>
        <v>0</v>
      </c>
      <c r="M404" s="165">
        <f t="shared" si="268"/>
        <v>0</v>
      </c>
      <c r="N404" s="138">
        <f>N405+N407</f>
        <v>0</v>
      </c>
      <c r="O404" s="178">
        <f>O405+O407</f>
        <v>0</v>
      </c>
      <c r="P404" s="165">
        <f t="shared" si="269"/>
        <v>18766195</v>
      </c>
      <c r="Q404" s="138">
        <f aca="true" t="shared" si="284" ref="Q404:Q442">K404+N404</f>
        <v>18766195</v>
      </c>
      <c r="R404" s="178">
        <f aca="true" t="shared" si="285" ref="R404:R442">O404+L404</f>
        <v>0</v>
      </c>
      <c r="S404" s="165">
        <f t="shared" si="270"/>
        <v>1452389</v>
      </c>
      <c r="T404" s="138">
        <f>T405+T407</f>
        <v>1452389</v>
      </c>
      <c r="U404" s="178">
        <f>U405+U407</f>
        <v>0</v>
      </c>
      <c r="V404" s="165">
        <f t="shared" si="271"/>
        <v>20218584</v>
      </c>
      <c r="W404" s="138">
        <f aca="true" t="shared" si="286" ref="W404:W442">Q404+T404</f>
        <v>20218584</v>
      </c>
      <c r="X404" s="178">
        <f aca="true" t="shared" si="287" ref="X404:X442">U404+R404</f>
        <v>0</v>
      </c>
      <c r="Y404" s="165">
        <f t="shared" si="272"/>
        <v>219156</v>
      </c>
      <c r="Z404" s="138">
        <f>Z405+Z407</f>
        <v>219156</v>
      </c>
      <c r="AA404" s="178">
        <f>AA405+AA407</f>
        <v>0</v>
      </c>
      <c r="AB404" s="165">
        <f t="shared" si="273"/>
        <v>20437740</v>
      </c>
      <c r="AC404" s="138">
        <f aca="true" t="shared" si="288" ref="AC404:AC442">W404+Z404</f>
        <v>20437740</v>
      </c>
      <c r="AD404" s="178">
        <f aca="true" t="shared" si="289" ref="AD404:AD442">AA404+X404</f>
        <v>0</v>
      </c>
      <c r="AF404" s="46">
        <f t="shared" si="231"/>
        <v>0</v>
      </c>
      <c r="AG404" s="46"/>
    </row>
    <row r="405" spans="1:33" s="120" customFormat="1" ht="12.75">
      <c r="A405" s="354"/>
      <c r="B405" s="300"/>
      <c r="C405" s="301" t="s">
        <v>115</v>
      </c>
      <c r="D405" s="250">
        <v>17226747</v>
      </c>
      <c r="E405" s="288">
        <v>17226747</v>
      </c>
      <c r="F405" s="289">
        <v>0</v>
      </c>
      <c r="G405" s="250">
        <f t="shared" si="266"/>
        <v>0</v>
      </c>
      <c r="H405" s="288"/>
      <c r="I405" s="289">
        <v>0</v>
      </c>
      <c r="J405" s="250">
        <f t="shared" si="267"/>
        <v>17226747</v>
      </c>
      <c r="K405" s="288">
        <f t="shared" si="282"/>
        <v>17226747</v>
      </c>
      <c r="L405" s="289">
        <f t="shared" si="283"/>
        <v>0</v>
      </c>
      <c r="M405" s="250">
        <f t="shared" si="268"/>
        <v>0</v>
      </c>
      <c r="N405" s="288"/>
      <c r="O405" s="289">
        <v>0</v>
      </c>
      <c r="P405" s="250">
        <f t="shared" si="269"/>
        <v>17226747</v>
      </c>
      <c r="Q405" s="288">
        <f t="shared" si="284"/>
        <v>17226747</v>
      </c>
      <c r="R405" s="289">
        <f t="shared" si="285"/>
        <v>0</v>
      </c>
      <c r="S405" s="250">
        <f t="shared" si="270"/>
        <v>1314289</v>
      </c>
      <c r="T405" s="288">
        <v>1314289</v>
      </c>
      <c r="U405" s="289">
        <v>0</v>
      </c>
      <c r="V405" s="250">
        <f t="shared" si="271"/>
        <v>18541036</v>
      </c>
      <c r="W405" s="288">
        <f t="shared" si="286"/>
        <v>18541036</v>
      </c>
      <c r="X405" s="289">
        <f t="shared" si="287"/>
        <v>0</v>
      </c>
      <c r="Y405" s="250">
        <f t="shared" si="272"/>
        <v>219156</v>
      </c>
      <c r="Z405" s="288">
        <v>219156</v>
      </c>
      <c r="AA405" s="289"/>
      <c r="AB405" s="250">
        <f t="shared" si="273"/>
        <v>18760192</v>
      </c>
      <c r="AC405" s="288">
        <f t="shared" si="288"/>
        <v>18760192</v>
      </c>
      <c r="AD405" s="289">
        <f t="shared" si="289"/>
        <v>0</v>
      </c>
      <c r="AF405" s="46">
        <f t="shared" si="231"/>
        <v>0</v>
      </c>
      <c r="AG405" s="46"/>
    </row>
    <row r="406" spans="1:33" s="100" customFormat="1" ht="12.75" customHeight="1" hidden="1">
      <c r="A406" s="366"/>
      <c r="B406" s="109"/>
      <c r="C406" s="122" t="s">
        <v>42</v>
      </c>
      <c r="D406" s="252">
        <v>0</v>
      </c>
      <c r="E406" s="124">
        <v>0</v>
      </c>
      <c r="F406" s="369">
        <v>0</v>
      </c>
      <c r="G406" s="252">
        <f t="shared" si="266"/>
        <v>0</v>
      </c>
      <c r="H406" s="124"/>
      <c r="I406" s="369">
        <v>0</v>
      </c>
      <c r="J406" s="252">
        <f t="shared" si="267"/>
        <v>0</v>
      </c>
      <c r="K406" s="124">
        <f t="shared" si="282"/>
        <v>0</v>
      </c>
      <c r="L406" s="369">
        <f t="shared" si="283"/>
        <v>0</v>
      </c>
      <c r="M406" s="252">
        <f t="shared" si="268"/>
        <v>0</v>
      </c>
      <c r="N406" s="124"/>
      <c r="O406" s="369">
        <v>0</v>
      </c>
      <c r="P406" s="252">
        <f t="shared" si="269"/>
        <v>0</v>
      </c>
      <c r="Q406" s="124">
        <f t="shared" si="284"/>
        <v>0</v>
      </c>
      <c r="R406" s="369">
        <f t="shared" si="285"/>
        <v>0</v>
      </c>
      <c r="S406" s="252">
        <f t="shared" si="270"/>
        <v>0</v>
      </c>
      <c r="T406" s="124"/>
      <c r="U406" s="369">
        <v>0</v>
      </c>
      <c r="V406" s="252">
        <f t="shared" si="271"/>
        <v>0</v>
      </c>
      <c r="W406" s="124">
        <f t="shared" si="286"/>
        <v>0</v>
      </c>
      <c r="X406" s="369">
        <f t="shared" si="287"/>
        <v>0</v>
      </c>
      <c r="Y406" s="252">
        <f t="shared" si="272"/>
        <v>0</v>
      </c>
      <c r="Z406" s="124"/>
      <c r="AA406" s="369"/>
      <c r="AB406" s="252">
        <f t="shared" si="273"/>
        <v>0</v>
      </c>
      <c r="AC406" s="124">
        <f t="shared" si="288"/>
        <v>0</v>
      </c>
      <c r="AD406" s="369">
        <f t="shared" si="289"/>
        <v>0</v>
      </c>
      <c r="AF406" s="46">
        <f t="shared" si="231"/>
        <v>0</v>
      </c>
      <c r="AG406" s="46"/>
    </row>
    <row r="407" spans="1:33" s="120" customFormat="1" ht="12.75">
      <c r="A407" s="354"/>
      <c r="B407" s="254"/>
      <c r="C407" s="255" t="s">
        <v>117</v>
      </c>
      <c r="D407" s="141">
        <v>1539448</v>
      </c>
      <c r="E407" s="142">
        <v>1539448</v>
      </c>
      <c r="F407" s="143">
        <v>0</v>
      </c>
      <c r="G407" s="141">
        <f t="shared" si="266"/>
        <v>0</v>
      </c>
      <c r="H407" s="142"/>
      <c r="I407" s="143">
        <v>0</v>
      </c>
      <c r="J407" s="141">
        <f t="shared" si="267"/>
        <v>1539448</v>
      </c>
      <c r="K407" s="142">
        <f t="shared" si="282"/>
        <v>1539448</v>
      </c>
      <c r="L407" s="143">
        <f t="shared" si="283"/>
        <v>0</v>
      </c>
      <c r="M407" s="141">
        <f t="shared" si="268"/>
        <v>0</v>
      </c>
      <c r="N407" s="142"/>
      <c r="O407" s="143">
        <v>0</v>
      </c>
      <c r="P407" s="141">
        <f t="shared" si="269"/>
        <v>1539448</v>
      </c>
      <c r="Q407" s="142">
        <f t="shared" si="284"/>
        <v>1539448</v>
      </c>
      <c r="R407" s="143">
        <f t="shared" si="285"/>
        <v>0</v>
      </c>
      <c r="S407" s="141">
        <f t="shared" si="270"/>
        <v>138100</v>
      </c>
      <c r="T407" s="142">
        <v>138100</v>
      </c>
      <c r="U407" s="143">
        <v>0</v>
      </c>
      <c r="V407" s="141">
        <f t="shared" si="271"/>
        <v>1677548</v>
      </c>
      <c r="W407" s="142">
        <f t="shared" si="286"/>
        <v>1677548</v>
      </c>
      <c r="X407" s="143">
        <f t="shared" si="287"/>
        <v>0</v>
      </c>
      <c r="Y407" s="141">
        <f t="shared" si="272"/>
        <v>0</v>
      </c>
      <c r="Z407" s="142"/>
      <c r="AA407" s="143"/>
      <c r="AB407" s="141">
        <f t="shared" si="273"/>
        <v>1677548</v>
      </c>
      <c r="AC407" s="142">
        <f t="shared" si="288"/>
        <v>1677548</v>
      </c>
      <c r="AD407" s="143">
        <f t="shared" si="289"/>
        <v>0</v>
      </c>
      <c r="AF407" s="46">
        <f t="shared" si="231"/>
        <v>0</v>
      </c>
      <c r="AG407" s="46"/>
    </row>
    <row r="408" spans="1:33" ht="12.75">
      <c r="A408" s="354"/>
      <c r="B408" s="140">
        <v>80111</v>
      </c>
      <c r="C408" s="129" t="s">
        <v>256</v>
      </c>
      <c r="D408" s="112">
        <v>11095405</v>
      </c>
      <c r="E408" s="113">
        <v>11095405</v>
      </c>
      <c r="F408" s="114">
        <v>0</v>
      </c>
      <c r="G408" s="112">
        <f t="shared" si="266"/>
        <v>0</v>
      </c>
      <c r="H408" s="113">
        <f>SUM(H409:H410)</f>
        <v>0</v>
      </c>
      <c r="I408" s="114">
        <f>SUM(I409:I410)</f>
        <v>0</v>
      </c>
      <c r="J408" s="112">
        <f t="shared" si="267"/>
        <v>11095405</v>
      </c>
      <c r="K408" s="113">
        <f t="shared" si="282"/>
        <v>11095405</v>
      </c>
      <c r="L408" s="114">
        <f t="shared" si="283"/>
        <v>0</v>
      </c>
      <c r="M408" s="112">
        <f t="shared" si="268"/>
        <v>0</v>
      </c>
      <c r="N408" s="113">
        <f>SUM(N409:N410)</f>
        <v>0</v>
      </c>
      <c r="O408" s="114">
        <f>SUM(O409:O410)</f>
        <v>0</v>
      </c>
      <c r="P408" s="112">
        <f t="shared" si="269"/>
        <v>11095405</v>
      </c>
      <c r="Q408" s="113">
        <f t="shared" si="284"/>
        <v>11095405</v>
      </c>
      <c r="R408" s="114">
        <f t="shared" si="285"/>
        <v>0</v>
      </c>
      <c r="S408" s="112">
        <f t="shared" si="270"/>
        <v>1011342</v>
      </c>
      <c r="T408" s="113">
        <f>SUM(T409:T410)</f>
        <v>1011342</v>
      </c>
      <c r="U408" s="114">
        <f>SUM(U409:U410)</f>
        <v>0</v>
      </c>
      <c r="V408" s="112">
        <f t="shared" si="271"/>
        <v>12106747</v>
      </c>
      <c r="W408" s="113">
        <f t="shared" si="286"/>
        <v>12106747</v>
      </c>
      <c r="X408" s="114">
        <f t="shared" si="287"/>
        <v>0</v>
      </c>
      <c r="Y408" s="112">
        <f t="shared" si="272"/>
        <v>-185711</v>
      </c>
      <c r="Z408" s="113">
        <f>SUM(Z409:Z410)</f>
        <v>-185711</v>
      </c>
      <c r="AA408" s="114">
        <f>SUM(AA409:AA410)</f>
        <v>0</v>
      </c>
      <c r="AB408" s="112">
        <f t="shared" si="273"/>
        <v>11921036</v>
      </c>
      <c r="AC408" s="113">
        <f t="shared" si="288"/>
        <v>11921036</v>
      </c>
      <c r="AD408" s="114">
        <f t="shared" si="289"/>
        <v>0</v>
      </c>
      <c r="AF408" s="46">
        <f t="shared" si="231"/>
        <v>0</v>
      </c>
      <c r="AG408" s="46"/>
    </row>
    <row r="409" spans="1:33" ht="12.75">
      <c r="A409" s="354"/>
      <c r="B409" s="108"/>
      <c r="C409" s="90" t="s">
        <v>115</v>
      </c>
      <c r="D409" s="91">
        <v>10528445</v>
      </c>
      <c r="E409" s="92">
        <v>10528445</v>
      </c>
      <c r="F409" s="186">
        <v>0</v>
      </c>
      <c r="G409" s="91">
        <f t="shared" si="266"/>
        <v>0</v>
      </c>
      <c r="H409" s="92"/>
      <c r="I409" s="186">
        <v>0</v>
      </c>
      <c r="J409" s="91">
        <f t="shared" si="267"/>
        <v>10528445</v>
      </c>
      <c r="K409" s="92">
        <f t="shared" si="282"/>
        <v>10528445</v>
      </c>
      <c r="L409" s="186">
        <f t="shared" si="283"/>
        <v>0</v>
      </c>
      <c r="M409" s="91">
        <f t="shared" si="268"/>
        <v>0</v>
      </c>
      <c r="N409" s="92"/>
      <c r="O409" s="186">
        <v>0</v>
      </c>
      <c r="P409" s="91">
        <f t="shared" si="269"/>
        <v>10528445</v>
      </c>
      <c r="Q409" s="92">
        <f t="shared" si="284"/>
        <v>10528445</v>
      </c>
      <c r="R409" s="186">
        <f t="shared" si="285"/>
        <v>0</v>
      </c>
      <c r="S409" s="91">
        <f t="shared" si="270"/>
        <v>892462</v>
      </c>
      <c r="T409" s="92">
        <f>885962+6500</f>
        <v>892462</v>
      </c>
      <c r="U409" s="186">
        <v>0</v>
      </c>
      <c r="V409" s="91">
        <f t="shared" si="271"/>
        <v>11420907</v>
      </c>
      <c r="W409" s="92">
        <f t="shared" si="286"/>
        <v>11420907</v>
      </c>
      <c r="X409" s="186">
        <f t="shared" si="287"/>
        <v>0</v>
      </c>
      <c r="Y409" s="91">
        <f t="shared" si="272"/>
        <v>-185711</v>
      </c>
      <c r="Z409" s="92">
        <v>-185711</v>
      </c>
      <c r="AA409" s="186"/>
      <c r="AB409" s="91">
        <f t="shared" si="273"/>
        <v>11235196</v>
      </c>
      <c r="AC409" s="92">
        <f t="shared" si="288"/>
        <v>11235196</v>
      </c>
      <c r="AD409" s="186">
        <f t="shared" si="289"/>
        <v>0</v>
      </c>
      <c r="AF409" s="46">
        <f t="shared" si="231"/>
        <v>0</v>
      </c>
      <c r="AG409" s="46"/>
    </row>
    <row r="410" spans="1:33" ht="12.75">
      <c r="A410" s="354"/>
      <c r="B410" s="140"/>
      <c r="C410" s="129" t="s">
        <v>117</v>
      </c>
      <c r="D410" s="112">
        <v>566960</v>
      </c>
      <c r="E410" s="113">
        <v>566960</v>
      </c>
      <c r="F410" s="128">
        <v>0</v>
      </c>
      <c r="G410" s="112">
        <f t="shared" si="266"/>
        <v>0</v>
      </c>
      <c r="H410" s="113"/>
      <c r="I410" s="128">
        <v>0</v>
      </c>
      <c r="J410" s="112">
        <f t="shared" si="267"/>
        <v>566960</v>
      </c>
      <c r="K410" s="113">
        <f t="shared" si="282"/>
        <v>566960</v>
      </c>
      <c r="L410" s="128">
        <f t="shared" si="283"/>
        <v>0</v>
      </c>
      <c r="M410" s="112">
        <f t="shared" si="268"/>
        <v>0</v>
      </c>
      <c r="N410" s="113"/>
      <c r="O410" s="128">
        <v>0</v>
      </c>
      <c r="P410" s="112">
        <f t="shared" si="269"/>
        <v>566960</v>
      </c>
      <c r="Q410" s="113">
        <f t="shared" si="284"/>
        <v>566960</v>
      </c>
      <c r="R410" s="128">
        <f t="shared" si="285"/>
        <v>0</v>
      </c>
      <c r="S410" s="112">
        <f t="shared" si="270"/>
        <v>118880</v>
      </c>
      <c r="T410" s="113">
        <v>118880</v>
      </c>
      <c r="U410" s="128">
        <v>0</v>
      </c>
      <c r="V410" s="112">
        <f t="shared" si="271"/>
        <v>685840</v>
      </c>
      <c r="W410" s="113">
        <f t="shared" si="286"/>
        <v>685840</v>
      </c>
      <c r="X410" s="128">
        <f t="shared" si="287"/>
        <v>0</v>
      </c>
      <c r="Y410" s="112">
        <f t="shared" si="272"/>
        <v>0</v>
      </c>
      <c r="Z410" s="113"/>
      <c r="AA410" s="128"/>
      <c r="AB410" s="112">
        <f t="shared" si="273"/>
        <v>685840</v>
      </c>
      <c r="AC410" s="113">
        <f t="shared" si="288"/>
        <v>685840</v>
      </c>
      <c r="AD410" s="128">
        <f t="shared" si="289"/>
        <v>0</v>
      </c>
      <c r="AF410" s="46">
        <f t="shared" si="231"/>
        <v>0</v>
      </c>
      <c r="AG410" s="46"/>
    </row>
    <row r="411" spans="1:33" ht="12.75">
      <c r="A411" s="354"/>
      <c r="B411" s="106">
        <v>80113</v>
      </c>
      <c r="C411" s="83" t="s">
        <v>129</v>
      </c>
      <c r="D411" s="80">
        <v>4342617</v>
      </c>
      <c r="E411" s="81">
        <v>4342617</v>
      </c>
      <c r="F411" s="82">
        <v>0</v>
      </c>
      <c r="G411" s="80">
        <f t="shared" si="266"/>
        <v>0</v>
      </c>
      <c r="H411" s="81">
        <f>SUM(H412:H413)</f>
        <v>0</v>
      </c>
      <c r="I411" s="82">
        <f>SUM(I412:I413)</f>
        <v>0</v>
      </c>
      <c r="J411" s="80">
        <f t="shared" si="267"/>
        <v>4342617</v>
      </c>
      <c r="K411" s="81">
        <f t="shared" si="282"/>
        <v>4342617</v>
      </c>
      <c r="L411" s="82">
        <f t="shared" si="283"/>
        <v>0</v>
      </c>
      <c r="M411" s="80">
        <f t="shared" si="268"/>
        <v>0</v>
      </c>
      <c r="N411" s="81">
        <f>SUM(N412:N413)</f>
        <v>0</v>
      </c>
      <c r="O411" s="82">
        <f>SUM(O412:O413)</f>
        <v>0</v>
      </c>
      <c r="P411" s="80">
        <f t="shared" si="269"/>
        <v>4342617</v>
      </c>
      <c r="Q411" s="81">
        <f t="shared" si="284"/>
        <v>4342617</v>
      </c>
      <c r="R411" s="82">
        <f t="shared" si="285"/>
        <v>0</v>
      </c>
      <c r="S411" s="80">
        <f t="shared" si="270"/>
        <v>0</v>
      </c>
      <c r="T411" s="81">
        <f>SUM(T412:T413)</f>
        <v>0</v>
      </c>
      <c r="U411" s="82">
        <f>SUM(U412:U413)</f>
        <v>0</v>
      </c>
      <c r="V411" s="80">
        <f t="shared" si="271"/>
        <v>4342617</v>
      </c>
      <c r="W411" s="81">
        <f t="shared" si="286"/>
        <v>4342617</v>
      </c>
      <c r="X411" s="82">
        <f t="shared" si="287"/>
        <v>0</v>
      </c>
      <c r="Y411" s="80">
        <f t="shared" si="272"/>
        <v>0</v>
      </c>
      <c r="Z411" s="81">
        <f>SUM(Z412:Z413)</f>
        <v>0</v>
      </c>
      <c r="AA411" s="82">
        <f>SUM(AA412:AA413)</f>
        <v>0</v>
      </c>
      <c r="AB411" s="80">
        <f t="shared" si="273"/>
        <v>4342617</v>
      </c>
      <c r="AC411" s="81">
        <f t="shared" si="288"/>
        <v>4342617</v>
      </c>
      <c r="AD411" s="82">
        <f t="shared" si="289"/>
        <v>0</v>
      </c>
      <c r="AF411" s="46">
        <f aca="true" t="shared" si="290" ref="AF411:AF475">V411-(S411+P411)</f>
        <v>0</v>
      </c>
      <c r="AG411" s="46"/>
    </row>
    <row r="412" spans="1:33" ht="12.75">
      <c r="A412" s="354"/>
      <c r="B412" s="108"/>
      <c r="C412" s="90" t="s">
        <v>115</v>
      </c>
      <c r="D412" s="91">
        <v>4207617</v>
      </c>
      <c r="E412" s="92">
        <v>4207617</v>
      </c>
      <c r="F412" s="186">
        <v>0</v>
      </c>
      <c r="G412" s="91">
        <f t="shared" si="266"/>
        <v>0</v>
      </c>
      <c r="H412" s="92"/>
      <c r="I412" s="186">
        <v>0</v>
      </c>
      <c r="J412" s="91">
        <f t="shared" si="267"/>
        <v>4207617</v>
      </c>
      <c r="K412" s="92">
        <f t="shared" si="282"/>
        <v>4207617</v>
      </c>
      <c r="L412" s="186">
        <f t="shared" si="283"/>
        <v>0</v>
      </c>
      <c r="M412" s="91">
        <f t="shared" si="268"/>
        <v>0</v>
      </c>
      <c r="N412" s="92"/>
      <c r="O412" s="186">
        <v>0</v>
      </c>
      <c r="P412" s="91">
        <f t="shared" si="269"/>
        <v>4207617</v>
      </c>
      <c r="Q412" s="92">
        <f t="shared" si="284"/>
        <v>4207617</v>
      </c>
      <c r="R412" s="186">
        <f t="shared" si="285"/>
        <v>0</v>
      </c>
      <c r="S412" s="91">
        <f t="shared" si="270"/>
        <v>0</v>
      </c>
      <c r="T412" s="92"/>
      <c r="U412" s="186">
        <v>0</v>
      </c>
      <c r="V412" s="91">
        <f t="shared" si="271"/>
        <v>4207617</v>
      </c>
      <c r="W412" s="92">
        <f t="shared" si="286"/>
        <v>4207617</v>
      </c>
      <c r="X412" s="186">
        <f t="shared" si="287"/>
        <v>0</v>
      </c>
      <c r="Y412" s="91">
        <f t="shared" si="272"/>
        <v>0</v>
      </c>
      <c r="Z412" s="92"/>
      <c r="AA412" s="186"/>
      <c r="AB412" s="91">
        <f t="shared" si="273"/>
        <v>4207617</v>
      </c>
      <c r="AC412" s="92">
        <f t="shared" si="288"/>
        <v>4207617</v>
      </c>
      <c r="AD412" s="186">
        <f t="shared" si="289"/>
        <v>0</v>
      </c>
      <c r="AF412" s="46">
        <f t="shared" si="290"/>
        <v>0</v>
      </c>
      <c r="AG412" s="46"/>
    </row>
    <row r="413" spans="1:33" ht="12.75">
      <c r="A413" s="354"/>
      <c r="B413" s="140"/>
      <c r="C413" s="129" t="s">
        <v>117</v>
      </c>
      <c r="D413" s="112">
        <v>135000</v>
      </c>
      <c r="E413" s="113">
        <v>135000</v>
      </c>
      <c r="F413" s="128">
        <v>0</v>
      </c>
      <c r="G413" s="112">
        <f t="shared" si="266"/>
        <v>0</v>
      </c>
      <c r="H413" s="113"/>
      <c r="I413" s="128">
        <v>0</v>
      </c>
      <c r="J413" s="112">
        <f t="shared" si="267"/>
        <v>135000</v>
      </c>
      <c r="K413" s="113">
        <f t="shared" si="282"/>
        <v>135000</v>
      </c>
      <c r="L413" s="128">
        <f t="shared" si="283"/>
        <v>0</v>
      </c>
      <c r="M413" s="112">
        <f t="shared" si="268"/>
        <v>0</v>
      </c>
      <c r="N413" s="113"/>
      <c r="O413" s="128">
        <v>0</v>
      </c>
      <c r="P413" s="112">
        <f t="shared" si="269"/>
        <v>135000</v>
      </c>
      <c r="Q413" s="113">
        <f t="shared" si="284"/>
        <v>135000</v>
      </c>
      <c r="R413" s="128">
        <f t="shared" si="285"/>
        <v>0</v>
      </c>
      <c r="S413" s="112">
        <f t="shared" si="270"/>
        <v>0</v>
      </c>
      <c r="T413" s="113"/>
      <c r="U413" s="128">
        <v>0</v>
      </c>
      <c r="V413" s="112">
        <f t="shared" si="271"/>
        <v>135000</v>
      </c>
      <c r="W413" s="113">
        <f t="shared" si="286"/>
        <v>135000</v>
      </c>
      <c r="X413" s="128">
        <f t="shared" si="287"/>
        <v>0</v>
      </c>
      <c r="Y413" s="112">
        <f t="shared" si="272"/>
        <v>0</v>
      </c>
      <c r="Z413" s="113"/>
      <c r="AA413" s="128"/>
      <c r="AB413" s="112">
        <f t="shared" si="273"/>
        <v>135000</v>
      </c>
      <c r="AC413" s="113">
        <f t="shared" si="288"/>
        <v>135000</v>
      </c>
      <c r="AD413" s="128">
        <f t="shared" si="289"/>
        <v>0</v>
      </c>
      <c r="AF413" s="46">
        <f t="shared" si="290"/>
        <v>0</v>
      </c>
      <c r="AG413" s="46"/>
    </row>
    <row r="414" spans="1:33" ht="12.75">
      <c r="A414" s="354"/>
      <c r="B414" s="106">
        <v>80120</v>
      </c>
      <c r="C414" s="83" t="s">
        <v>257</v>
      </c>
      <c r="D414" s="80">
        <v>84268367</v>
      </c>
      <c r="E414" s="81">
        <v>80833367</v>
      </c>
      <c r="F414" s="82">
        <v>3435000</v>
      </c>
      <c r="G414" s="80">
        <f>H414+I415</f>
        <v>60987</v>
      </c>
      <c r="H414" s="81">
        <f>H415+H417</f>
        <v>26987</v>
      </c>
      <c r="I414" s="82">
        <f>I415+I417</f>
        <v>34000</v>
      </c>
      <c r="J414" s="80">
        <f>K414+L415</f>
        <v>84329354</v>
      </c>
      <c r="K414" s="81">
        <f t="shared" si="282"/>
        <v>80860354</v>
      </c>
      <c r="L414" s="82">
        <f t="shared" si="283"/>
        <v>3469000</v>
      </c>
      <c r="M414" s="80">
        <f>N414+O415</f>
        <v>0</v>
      </c>
      <c r="N414" s="81">
        <f>N415+N417</f>
        <v>0</v>
      </c>
      <c r="O414" s="82">
        <f>O415+O417</f>
        <v>0</v>
      </c>
      <c r="P414" s="80">
        <f>Q414+R415</f>
        <v>84329354</v>
      </c>
      <c r="Q414" s="81">
        <f t="shared" si="284"/>
        <v>80860354</v>
      </c>
      <c r="R414" s="82">
        <f t="shared" si="285"/>
        <v>3469000</v>
      </c>
      <c r="S414" s="80">
        <f>T414+U415</f>
        <v>8164068</v>
      </c>
      <c r="T414" s="81">
        <f>T415+T417</f>
        <v>8219068</v>
      </c>
      <c r="U414" s="82">
        <f>U415+U417</f>
        <v>-55000</v>
      </c>
      <c r="V414" s="80">
        <f>W414+X415</f>
        <v>92493422</v>
      </c>
      <c r="W414" s="81">
        <f t="shared" si="286"/>
        <v>89079422</v>
      </c>
      <c r="X414" s="82">
        <f t="shared" si="287"/>
        <v>3414000</v>
      </c>
      <c r="Y414" s="80">
        <f>Z414+AA415</f>
        <v>335294</v>
      </c>
      <c r="Z414" s="81">
        <f>Z415+Z417</f>
        <v>335294</v>
      </c>
      <c r="AA414" s="82">
        <f>AA415+AA417</f>
        <v>0</v>
      </c>
      <c r="AB414" s="80">
        <f>AC414+AD415</f>
        <v>92828716</v>
      </c>
      <c r="AC414" s="81">
        <f t="shared" si="288"/>
        <v>89414716</v>
      </c>
      <c r="AD414" s="82">
        <f t="shared" si="289"/>
        <v>3414000</v>
      </c>
      <c r="AF414" s="46">
        <f t="shared" si="290"/>
        <v>0</v>
      </c>
      <c r="AG414" s="46"/>
    </row>
    <row r="415" spans="1:33" ht="12.75">
      <c r="A415" s="354"/>
      <c r="B415" s="130"/>
      <c r="C415" s="85" t="s">
        <v>115</v>
      </c>
      <c r="D415" s="88">
        <v>76041491</v>
      </c>
      <c r="E415" s="86">
        <v>72606491</v>
      </c>
      <c r="F415" s="161">
        <v>3435000</v>
      </c>
      <c r="G415" s="88">
        <f>H415+I415</f>
        <v>60987</v>
      </c>
      <c r="H415" s="86">
        <f>H416+6400</f>
        <v>26987</v>
      </c>
      <c r="I415" s="161">
        <v>34000</v>
      </c>
      <c r="J415" s="88">
        <f>K415+L415</f>
        <v>76102478</v>
      </c>
      <c r="K415" s="86">
        <f t="shared" si="282"/>
        <v>72633478</v>
      </c>
      <c r="L415" s="161">
        <f t="shared" si="283"/>
        <v>3469000</v>
      </c>
      <c r="M415" s="88">
        <f>N415+O415</f>
        <v>0</v>
      </c>
      <c r="N415" s="86">
        <f>N416</f>
        <v>0</v>
      </c>
      <c r="O415" s="161"/>
      <c r="P415" s="88">
        <f>Q415+R415</f>
        <v>76102478</v>
      </c>
      <c r="Q415" s="86">
        <f t="shared" si="284"/>
        <v>72633478</v>
      </c>
      <c r="R415" s="161">
        <f t="shared" si="285"/>
        <v>3469000</v>
      </c>
      <c r="S415" s="88">
        <f>T415+U415</f>
        <v>6749828</v>
      </c>
      <c r="T415" s="424">
        <f>5715648+75000+137000+55700+821480</f>
        <v>6804828</v>
      </c>
      <c r="U415" s="161">
        <v>-55000</v>
      </c>
      <c r="V415" s="88">
        <f>W415+X415</f>
        <v>82852306</v>
      </c>
      <c r="W415" s="86">
        <f t="shared" si="286"/>
        <v>79438306</v>
      </c>
      <c r="X415" s="161">
        <f t="shared" si="287"/>
        <v>3414000</v>
      </c>
      <c r="Y415" s="88">
        <f>Z415+AA415</f>
        <v>335294</v>
      </c>
      <c r="Z415" s="424">
        <v>335294</v>
      </c>
      <c r="AA415" s="161"/>
      <c r="AB415" s="88">
        <f>AC415+AD415</f>
        <v>83187600</v>
      </c>
      <c r="AC415" s="86">
        <f t="shared" si="288"/>
        <v>79773600</v>
      </c>
      <c r="AD415" s="161">
        <f t="shared" si="289"/>
        <v>3414000</v>
      </c>
      <c r="AF415" s="46">
        <f t="shared" si="290"/>
        <v>0</v>
      </c>
      <c r="AG415" s="46"/>
    </row>
    <row r="416" spans="1:33" s="100" customFormat="1" ht="12.75">
      <c r="A416" s="366"/>
      <c r="B416" s="109"/>
      <c r="C416" s="122" t="s">
        <v>42</v>
      </c>
      <c r="D416" s="252">
        <v>15144</v>
      </c>
      <c r="E416" s="124">
        <v>15144</v>
      </c>
      <c r="F416" s="125">
        <v>0</v>
      </c>
      <c r="G416" s="252">
        <f>H416+I416</f>
        <v>20587</v>
      </c>
      <c r="H416" s="124">
        <v>20587</v>
      </c>
      <c r="I416" s="125">
        <v>0</v>
      </c>
      <c r="J416" s="252">
        <f>K416+L416</f>
        <v>35731</v>
      </c>
      <c r="K416" s="124">
        <f t="shared" si="282"/>
        <v>35731</v>
      </c>
      <c r="L416" s="125">
        <f t="shared" si="283"/>
        <v>0</v>
      </c>
      <c r="M416" s="252">
        <f>N416+O416</f>
        <v>0</v>
      </c>
      <c r="N416" s="124">
        <v>0</v>
      </c>
      <c r="O416" s="125">
        <v>0</v>
      </c>
      <c r="P416" s="252">
        <f>Q416+R416</f>
        <v>35731</v>
      </c>
      <c r="Q416" s="124">
        <f t="shared" si="284"/>
        <v>35731</v>
      </c>
      <c r="R416" s="125">
        <f t="shared" si="285"/>
        <v>0</v>
      </c>
      <c r="S416" s="252">
        <f>T416+U416</f>
        <v>0</v>
      </c>
      <c r="T416" s="124">
        <v>0</v>
      </c>
      <c r="U416" s="125">
        <v>0</v>
      </c>
      <c r="V416" s="252">
        <f>W416+X416</f>
        <v>35731</v>
      </c>
      <c r="W416" s="124">
        <f t="shared" si="286"/>
        <v>35731</v>
      </c>
      <c r="X416" s="125">
        <f t="shared" si="287"/>
        <v>0</v>
      </c>
      <c r="Y416" s="252">
        <f>Z416+AA416</f>
        <v>0</v>
      </c>
      <c r="Z416" s="124"/>
      <c r="AA416" s="125"/>
      <c r="AB416" s="252">
        <f>AC416+AD416</f>
        <v>35731</v>
      </c>
      <c r="AC416" s="124">
        <f t="shared" si="288"/>
        <v>35731</v>
      </c>
      <c r="AD416" s="125">
        <f t="shared" si="289"/>
        <v>0</v>
      </c>
      <c r="AF416" s="46">
        <f t="shared" si="290"/>
        <v>0</v>
      </c>
      <c r="AG416" s="46"/>
    </row>
    <row r="417" spans="1:33" ht="12.75">
      <c r="A417" s="354"/>
      <c r="B417" s="140"/>
      <c r="C417" s="129" t="s">
        <v>117</v>
      </c>
      <c r="D417" s="112">
        <v>8226876</v>
      </c>
      <c r="E417" s="113">
        <v>8226876</v>
      </c>
      <c r="F417" s="128">
        <v>0</v>
      </c>
      <c r="G417" s="112">
        <f>H417+I417</f>
        <v>0</v>
      </c>
      <c r="H417" s="113"/>
      <c r="I417" s="128">
        <v>0</v>
      </c>
      <c r="J417" s="112">
        <f>K417+L417</f>
        <v>8226876</v>
      </c>
      <c r="K417" s="113">
        <f t="shared" si="282"/>
        <v>8226876</v>
      </c>
      <c r="L417" s="128">
        <f t="shared" si="283"/>
        <v>0</v>
      </c>
      <c r="M417" s="112">
        <f>N417+O417</f>
        <v>0</v>
      </c>
      <c r="N417" s="113"/>
      <c r="O417" s="128">
        <v>0</v>
      </c>
      <c r="P417" s="112">
        <f>Q417+R417</f>
        <v>8226876</v>
      </c>
      <c r="Q417" s="113">
        <f t="shared" si="284"/>
        <v>8226876</v>
      </c>
      <c r="R417" s="128">
        <f t="shared" si="285"/>
        <v>0</v>
      </c>
      <c r="S417" s="112">
        <f>T417+U417</f>
        <v>1414240</v>
      </c>
      <c r="T417" s="113">
        <f>1220940+193300</f>
        <v>1414240</v>
      </c>
      <c r="U417" s="128">
        <v>0</v>
      </c>
      <c r="V417" s="112">
        <f>W417+X417</f>
        <v>9641116</v>
      </c>
      <c r="W417" s="113">
        <f t="shared" si="286"/>
        <v>9641116</v>
      </c>
      <c r="X417" s="128">
        <f t="shared" si="287"/>
        <v>0</v>
      </c>
      <c r="Y417" s="112">
        <f>Z417+AA417</f>
        <v>0</v>
      </c>
      <c r="Z417" s="113"/>
      <c r="AA417" s="128"/>
      <c r="AB417" s="112">
        <f>AC417+AD417</f>
        <v>9641116</v>
      </c>
      <c r="AC417" s="113">
        <f t="shared" si="288"/>
        <v>9641116</v>
      </c>
      <c r="AD417" s="128">
        <f t="shared" si="289"/>
        <v>0</v>
      </c>
      <c r="AF417" s="46">
        <f t="shared" si="290"/>
        <v>0</v>
      </c>
      <c r="AG417" s="46"/>
    </row>
    <row r="418" spans="1:33" ht="12.75">
      <c r="A418" s="354"/>
      <c r="B418" s="140">
        <v>80121</v>
      </c>
      <c r="C418" s="129" t="s">
        <v>258</v>
      </c>
      <c r="D418" s="112">
        <v>1696261</v>
      </c>
      <c r="E418" s="113">
        <v>1696261</v>
      </c>
      <c r="F418" s="114">
        <v>0</v>
      </c>
      <c r="G418" s="112">
        <f>H418+I418</f>
        <v>0</v>
      </c>
      <c r="H418" s="113">
        <f>H419</f>
        <v>0</v>
      </c>
      <c r="I418" s="114">
        <f>I419</f>
        <v>0</v>
      </c>
      <c r="J418" s="112">
        <f>K418+L418</f>
        <v>1696261</v>
      </c>
      <c r="K418" s="113">
        <f t="shared" si="282"/>
        <v>1696261</v>
      </c>
      <c r="L418" s="114">
        <f t="shared" si="283"/>
        <v>0</v>
      </c>
      <c r="M418" s="112">
        <f>N418+O418</f>
        <v>0</v>
      </c>
      <c r="N418" s="113">
        <f>N419</f>
        <v>0</v>
      </c>
      <c r="O418" s="114">
        <f>O419</f>
        <v>0</v>
      </c>
      <c r="P418" s="112">
        <f>Q418+R418</f>
        <v>1696261</v>
      </c>
      <c r="Q418" s="113">
        <f t="shared" si="284"/>
        <v>1696261</v>
      </c>
      <c r="R418" s="114">
        <f t="shared" si="285"/>
        <v>0</v>
      </c>
      <c r="S418" s="112">
        <f>T418+U418</f>
        <v>142289</v>
      </c>
      <c r="T418" s="113">
        <f>T419</f>
        <v>142289</v>
      </c>
      <c r="U418" s="114">
        <f>U419</f>
        <v>0</v>
      </c>
      <c r="V418" s="112">
        <f>W418+X418</f>
        <v>1838550</v>
      </c>
      <c r="W418" s="113">
        <f t="shared" si="286"/>
        <v>1838550</v>
      </c>
      <c r="X418" s="114">
        <f t="shared" si="287"/>
        <v>0</v>
      </c>
      <c r="Y418" s="112">
        <f>Z418+AA418</f>
        <v>-58323</v>
      </c>
      <c r="Z418" s="113">
        <f>Z419</f>
        <v>-58323</v>
      </c>
      <c r="AA418" s="114">
        <f>AA419</f>
        <v>0</v>
      </c>
      <c r="AB418" s="112">
        <f>AC418+AD418</f>
        <v>1780227</v>
      </c>
      <c r="AC418" s="113">
        <f t="shared" si="288"/>
        <v>1780227</v>
      </c>
      <c r="AD418" s="114">
        <f t="shared" si="289"/>
        <v>0</v>
      </c>
      <c r="AF418" s="46">
        <f t="shared" si="290"/>
        <v>0</v>
      </c>
      <c r="AG418" s="46"/>
    </row>
    <row r="419" spans="1:33" ht="13.5" thickBot="1">
      <c r="A419" s="354"/>
      <c r="B419" s="152"/>
      <c r="C419" s="153" t="s">
        <v>115</v>
      </c>
      <c r="D419" s="154">
        <v>1696261</v>
      </c>
      <c r="E419" s="449">
        <v>1696261</v>
      </c>
      <c r="F419" s="388">
        <v>0</v>
      </c>
      <c r="G419" s="154">
        <f>H419+I419</f>
        <v>0</v>
      </c>
      <c r="H419" s="449"/>
      <c r="I419" s="388">
        <v>0</v>
      </c>
      <c r="J419" s="154">
        <f>K419+L419</f>
        <v>1696261</v>
      </c>
      <c r="K419" s="449">
        <f t="shared" si="282"/>
        <v>1696261</v>
      </c>
      <c r="L419" s="388">
        <f t="shared" si="283"/>
        <v>0</v>
      </c>
      <c r="M419" s="154">
        <f>N419+O419</f>
        <v>0</v>
      </c>
      <c r="N419" s="449"/>
      <c r="O419" s="388">
        <v>0</v>
      </c>
      <c r="P419" s="154">
        <f>Q419+R419</f>
        <v>1696261</v>
      </c>
      <c r="Q419" s="449">
        <f t="shared" si="284"/>
        <v>1696261</v>
      </c>
      <c r="R419" s="388">
        <f t="shared" si="285"/>
        <v>0</v>
      </c>
      <c r="S419" s="154">
        <f>T419+U419</f>
        <v>142289</v>
      </c>
      <c r="T419" s="449">
        <v>142289</v>
      </c>
      <c r="U419" s="388">
        <v>0</v>
      </c>
      <c r="V419" s="154">
        <f>W419+X419</f>
        <v>1838550</v>
      </c>
      <c r="W419" s="449">
        <f t="shared" si="286"/>
        <v>1838550</v>
      </c>
      <c r="X419" s="388">
        <f t="shared" si="287"/>
        <v>0</v>
      </c>
      <c r="Y419" s="154">
        <f>Z419+AA419</f>
        <v>-58323</v>
      </c>
      <c r="Z419" s="449">
        <v>-58323</v>
      </c>
      <c r="AA419" s="388"/>
      <c r="AB419" s="154">
        <f>AC419+AD419</f>
        <v>1780227</v>
      </c>
      <c r="AC419" s="449">
        <f t="shared" si="288"/>
        <v>1780227</v>
      </c>
      <c r="AD419" s="388">
        <f t="shared" si="289"/>
        <v>0</v>
      </c>
      <c r="AF419" s="46">
        <f t="shared" si="290"/>
        <v>0</v>
      </c>
      <c r="AG419" s="46"/>
    </row>
    <row r="420" spans="1:33" ht="12.75">
      <c r="A420" s="354"/>
      <c r="B420" s="140">
        <v>80123</v>
      </c>
      <c r="C420" s="129" t="s">
        <v>259</v>
      </c>
      <c r="D420" s="112">
        <v>9296258</v>
      </c>
      <c r="E420" s="113">
        <v>9296258</v>
      </c>
      <c r="F420" s="114">
        <v>0</v>
      </c>
      <c r="G420" s="112">
        <f>H420+I421</f>
        <v>0</v>
      </c>
      <c r="H420" s="113">
        <f>SUM(H421:H423)</f>
        <v>0</v>
      </c>
      <c r="I420" s="114">
        <f>SUM(I421:I423)</f>
        <v>0</v>
      </c>
      <c r="J420" s="112">
        <f>K420+L421</f>
        <v>9296258</v>
      </c>
      <c r="K420" s="113">
        <f t="shared" si="282"/>
        <v>9296258</v>
      </c>
      <c r="L420" s="114">
        <f t="shared" si="283"/>
        <v>0</v>
      </c>
      <c r="M420" s="112">
        <f>N420+O421</f>
        <v>0</v>
      </c>
      <c r="N420" s="113">
        <f>SUM(N421:N423)</f>
        <v>0</v>
      </c>
      <c r="O420" s="114">
        <f>SUM(O421:O423)</f>
        <v>0</v>
      </c>
      <c r="P420" s="112">
        <f>Q420+R421</f>
        <v>9296258</v>
      </c>
      <c r="Q420" s="113">
        <f t="shared" si="284"/>
        <v>9296258</v>
      </c>
      <c r="R420" s="114">
        <f t="shared" si="285"/>
        <v>0</v>
      </c>
      <c r="S420" s="112">
        <f>T420+U421</f>
        <v>624021</v>
      </c>
      <c r="T420" s="113">
        <f>SUM(T421:T423)</f>
        <v>624021</v>
      </c>
      <c r="U420" s="114">
        <f>SUM(U421:U423)</f>
        <v>0</v>
      </c>
      <c r="V420" s="112">
        <f>W420+X421</f>
        <v>9920279</v>
      </c>
      <c r="W420" s="113">
        <f t="shared" si="286"/>
        <v>9920279</v>
      </c>
      <c r="X420" s="114">
        <f t="shared" si="287"/>
        <v>0</v>
      </c>
      <c r="Y420" s="112">
        <f>Z420+AA421</f>
        <v>-900280</v>
      </c>
      <c r="Z420" s="113">
        <f>SUM(Z421:Z423)</f>
        <v>-900280</v>
      </c>
      <c r="AA420" s="114">
        <f>SUM(AA421:AA423)</f>
        <v>0</v>
      </c>
      <c r="AB420" s="112">
        <f>AC420+AD421</f>
        <v>9019999</v>
      </c>
      <c r="AC420" s="113">
        <f t="shared" si="288"/>
        <v>9019999</v>
      </c>
      <c r="AD420" s="114">
        <f t="shared" si="289"/>
        <v>0</v>
      </c>
      <c r="AF420" s="46">
        <f t="shared" si="290"/>
        <v>0</v>
      </c>
      <c r="AG420" s="46"/>
    </row>
    <row r="421" spans="1:33" ht="13.5" thickBot="1">
      <c r="A421" s="374"/>
      <c r="B421" s="130"/>
      <c r="C421" s="85" t="s">
        <v>115</v>
      </c>
      <c r="D421" s="88">
        <v>9056498</v>
      </c>
      <c r="E421" s="86">
        <v>9056498</v>
      </c>
      <c r="F421" s="161">
        <v>0</v>
      </c>
      <c r="G421" s="88">
        <f aca="true" t="shared" si="291" ref="G421:G429">H421+I421</f>
        <v>0</v>
      </c>
      <c r="H421" s="86"/>
      <c r="I421" s="161">
        <v>0</v>
      </c>
      <c r="J421" s="88">
        <f aca="true" t="shared" si="292" ref="J421:J429">K421+L421</f>
        <v>9056498</v>
      </c>
      <c r="K421" s="86">
        <f t="shared" si="282"/>
        <v>9056498</v>
      </c>
      <c r="L421" s="161">
        <f t="shared" si="283"/>
        <v>0</v>
      </c>
      <c r="M421" s="88">
        <f aca="true" t="shared" si="293" ref="M421:M429">N421+O421</f>
        <v>0</v>
      </c>
      <c r="N421" s="86"/>
      <c r="O421" s="161">
        <v>0</v>
      </c>
      <c r="P421" s="88">
        <f aca="true" t="shared" si="294" ref="P421:P429">Q421+R421</f>
        <v>9056498</v>
      </c>
      <c r="Q421" s="86">
        <f t="shared" si="284"/>
        <v>9056498</v>
      </c>
      <c r="R421" s="161">
        <f t="shared" si="285"/>
        <v>0</v>
      </c>
      <c r="S421" s="88">
        <f aca="true" t="shared" si="295" ref="S421:S429">T421+U421</f>
        <v>644021</v>
      </c>
      <c r="T421" s="86">
        <v>644021</v>
      </c>
      <c r="U421" s="161">
        <v>0</v>
      </c>
      <c r="V421" s="88">
        <f aca="true" t="shared" si="296" ref="V421:V429">W421+X421</f>
        <v>9700519</v>
      </c>
      <c r="W421" s="86">
        <f t="shared" si="286"/>
        <v>9700519</v>
      </c>
      <c r="X421" s="161">
        <f t="shared" si="287"/>
        <v>0</v>
      </c>
      <c r="Y421" s="88">
        <f aca="true" t="shared" si="297" ref="Y421:Y429">Z421+AA421</f>
        <v>-900280</v>
      </c>
      <c r="Z421" s="86">
        <v>-900280</v>
      </c>
      <c r="AA421" s="161"/>
      <c r="AB421" s="88">
        <f aca="true" t="shared" si="298" ref="AB421:AB429">AC421+AD421</f>
        <v>8800239</v>
      </c>
      <c r="AC421" s="86">
        <f t="shared" si="288"/>
        <v>8800239</v>
      </c>
      <c r="AD421" s="161">
        <f t="shared" si="289"/>
        <v>0</v>
      </c>
      <c r="AF421" s="46">
        <f t="shared" si="290"/>
        <v>0</v>
      </c>
      <c r="AG421" s="46"/>
    </row>
    <row r="422" spans="1:33" s="100" customFormat="1" ht="12.75" hidden="1">
      <c r="A422" s="366"/>
      <c r="B422" s="109"/>
      <c r="C422" s="122" t="s">
        <v>42</v>
      </c>
      <c r="D422" s="123">
        <v>0</v>
      </c>
      <c r="E422" s="124">
        <v>0</v>
      </c>
      <c r="F422" s="125">
        <v>0</v>
      </c>
      <c r="G422" s="123">
        <f t="shared" si="291"/>
        <v>0</v>
      </c>
      <c r="H422" s="124"/>
      <c r="I422" s="125">
        <v>0</v>
      </c>
      <c r="J422" s="123">
        <f t="shared" si="292"/>
        <v>0</v>
      </c>
      <c r="K422" s="124">
        <f t="shared" si="282"/>
        <v>0</v>
      </c>
      <c r="L422" s="125">
        <f t="shared" si="283"/>
        <v>0</v>
      </c>
      <c r="M422" s="123">
        <f t="shared" si="293"/>
        <v>0</v>
      </c>
      <c r="N422" s="124"/>
      <c r="O422" s="125">
        <v>0</v>
      </c>
      <c r="P422" s="123">
        <f t="shared" si="294"/>
        <v>0</v>
      </c>
      <c r="Q422" s="124">
        <f t="shared" si="284"/>
        <v>0</v>
      </c>
      <c r="R422" s="125">
        <f t="shared" si="285"/>
        <v>0</v>
      </c>
      <c r="S422" s="123">
        <f t="shared" si="295"/>
        <v>0</v>
      </c>
      <c r="T422" s="124"/>
      <c r="U422" s="125">
        <v>0</v>
      </c>
      <c r="V422" s="123">
        <f t="shared" si="296"/>
        <v>0</v>
      </c>
      <c r="W422" s="124">
        <f t="shared" si="286"/>
        <v>0</v>
      </c>
      <c r="X422" s="125">
        <f t="shared" si="287"/>
        <v>0</v>
      </c>
      <c r="Y422" s="123">
        <f t="shared" si="297"/>
        <v>0</v>
      </c>
      <c r="Z422" s="124"/>
      <c r="AA422" s="125">
        <v>0</v>
      </c>
      <c r="AB422" s="123">
        <f t="shared" si="298"/>
        <v>0</v>
      </c>
      <c r="AC422" s="124">
        <f t="shared" si="288"/>
        <v>0</v>
      </c>
      <c r="AD422" s="125">
        <f t="shared" si="289"/>
        <v>0</v>
      </c>
      <c r="AF422" s="46">
        <f t="shared" si="290"/>
        <v>0</v>
      </c>
      <c r="AG422" s="46"/>
    </row>
    <row r="423" spans="1:33" ht="12.75">
      <c r="A423" s="354"/>
      <c r="B423" s="140"/>
      <c r="C423" s="129" t="s">
        <v>117</v>
      </c>
      <c r="D423" s="112">
        <v>239760</v>
      </c>
      <c r="E423" s="113">
        <v>239760</v>
      </c>
      <c r="F423" s="114">
        <v>0</v>
      </c>
      <c r="G423" s="112">
        <f t="shared" si="291"/>
        <v>0</v>
      </c>
      <c r="H423" s="113"/>
      <c r="I423" s="114">
        <v>0</v>
      </c>
      <c r="J423" s="112">
        <f t="shared" si="292"/>
        <v>239760</v>
      </c>
      <c r="K423" s="113">
        <f t="shared" si="282"/>
        <v>239760</v>
      </c>
      <c r="L423" s="114">
        <f t="shared" si="283"/>
        <v>0</v>
      </c>
      <c r="M423" s="112">
        <f t="shared" si="293"/>
        <v>0</v>
      </c>
      <c r="N423" s="113"/>
      <c r="O423" s="114">
        <v>0</v>
      </c>
      <c r="P423" s="112">
        <f t="shared" si="294"/>
        <v>239760</v>
      </c>
      <c r="Q423" s="113">
        <f t="shared" si="284"/>
        <v>239760</v>
      </c>
      <c r="R423" s="114">
        <f t="shared" si="285"/>
        <v>0</v>
      </c>
      <c r="S423" s="112">
        <f t="shared" si="295"/>
        <v>-20000</v>
      </c>
      <c r="T423" s="113">
        <v>-20000</v>
      </c>
      <c r="U423" s="114">
        <v>0</v>
      </c>
      <c r="V423" s="112">
        <f t="shared" si="296"/>
        <v>219760</v>
      </c>
      <c r="W423" s="113">
        <f t="shared" si="286"/>
        <v>219760</v>
      </c>
      <c r="X423" s="114">
        <f t="shared" si="287"/>
        <v>0</v>
      </c>
      <c r="Y423" s="112">
        <f t="shared" si="297"/>
        <v>0</v>
      </c>
      <c r="Z423" s="113"/>
      <c r="AA423" s="114"/>
      <c r="AB423" s="112">
        <f t="shared" si="298"/>
        <v>219760</v>
      </c>
      <c r="AC423" s="113">
        <f t="shared" si="288"/>
        <v>219760</v>
      </c>
      <c r="AD423" s="114">
        <f t="shared" si="289"/>
        <v>0</v>
      </c>
      <c r="AF423" s="46">
        <f t="shared" si="290"/>
        <v>0</v>
      </c>
      <c r="AG423" s="46"/>
    </row>
    <row r="424" spans="1:33" ht="12.75">
      <c r="A424" s="354"/>
      <c r="B424" s="106">
        <v>80130</v>
      </c>
      <c r="C424" s="83" t="s">
        <v>260</v>
      </c>
      <c r="D424" s="80">
        <v>58794658</v>
      </c>
      <c r="E424" s="81">
        <v>58267658</v>
      </c>
      <c r="F424" s="82">
        <v>527000</v>
      </c>
      <c r="G424" s="80">
        <f t="shared" si="291"/>
        <v>78135</v>
      </c>
      <c r="H424" s="81">
        <f>H425+H429</f>
        <v>55135</v>
      </c>
      <c r="I424" s="82">
        <f>I425+I429</f>
        <v>23000</v>
      </c>
      <c r="J424" s="80">
        <f t="shared" si="292"/>
        <v>58872793</v>
      </c>
      <c r="K424" s="81">
        <f t="shared" si="282"/>
        <v>58322793</v>
      </c>
      <c r="L424" s="82">
        <f t="shared" si="283"/>
        <v>550000</v>
      </c>
      <c r="M424" s="80">
        <f t="shared" si="293"/>
        <v>0</v>
      </c>
      <c r="N424" s="81">
        <f>N425+N429</f>
        <v>0</v>
      </c>
      <c r="O424" s="82">
        <f>O425+O429</f>
        <v>0</v>
      </c>
      <c r="P424" s="80">
        <f t="shared" si="294"/>
        <v>58872793</v>
      </c>
      <c r="Q424" s="81">
        <f t="shared" si="284"/>
        <v>58322793</v>
      </c>
      <c r="R424" s="82">
        <f t="shared" si="285"/>
        <v>550000</v>
      </c>
      <c r="S424" s="80">
        <f t="shared" si="295"/>
        <v>5247156</v>
      </c>
      <c r="T424" s="81">
        <f>T425+T429</f>
        <v>5444156</v>
      </c>
      <c r="U424" s="82">
        <f>U425+U429</f>
        <v>-197000</v>
      </c>
      <c r="V424" s="80">
        <f t="shared" si="296"/>
        <v>64119949</v>
      </c>
      <c r="W424" s="81">
        <f t="shared" si="286"/>
        <v>63766949</v>
      </c>
      <c r="X424" s="82">
        <f t="shared" si="287"/>
        <v>353000</v>
      </c>
      <c r="Y424" s="80">
        <f t="shared" si="297"/>
        <v>169986</v>
      </c>
      <c r="Z424" s="81">
        <f>Z425+Z429</f>
        <v>169986</v>
      </c>
      <c r="AA424" s="82">
        <f>AA425+AA429</f>
        <v>0</v>
      </c>
      <c r="AB424" s="80">
        <f t="shared" si="298"/>
        <v>64289935</v>
      </c>
      <c r="AC424" s="81">
        <f t="shared" si="288"/>
        <v>63936935</v>
      </c>
      <c r="AD424" s="82">
        <f t="shared" si="289"/>
        <v>353000</v>
      </c>
      <c r="AF424" s="46">
        <f t="shared" si="290"/>
        <v>0</v>
      </c>
      <c r="AG424" s="46"/>
    </row>
    <row r="425" spans="1:33" ht="12.75">
      <c r="A425" s="354"/>
      <c r="B425" s="130"/>
      <c r="C425" s="85" t="s">
        <v>115</v>
      </c>
      <c r="D425" s="88">
        <v>46123142</v>
      </c>
      <c r="E425" s="86">
        <v>45596142</v>
      </c>
      <c r="F425" s="161">
        <v>527000</v>
      </c>
      <c r="G425" s="88">
        <f t="shared" si="291"/>
        <v>78135</v>
      </c>
      <c r="H425" s="86">
        <f>H426+4000-20403</f>
        <v>55135</v>
      </c>
      <c r="I425" s="161">
        <v>23000</v>
      </c>
      <c r="J425" s="88">
        <f t="shared" si="292"/>
        <v>46201277</v>
      </c>
      <c r="K425" s="86">
        <f t="shared" si="282"/>
        <v>45651277</v>
      </c>
      <c r="L425" s="161">
        <f t="shared" si="283"/>
        <v>550000</v>
      </c>
      <c r="M425" s="88">
        <f t="shared" si="293"/>
        <v>0</v>
      </c>
      <c r="N425" s="86">
        <f>N426</f>
        <v>0</v>
      </c>
      <c r="O425" s="161">
        <v>0</v>
      </c>
      <c r="P425" s="88">
        <f t="shared" si="294"/>
        <v>46201277</v>
      </c>
      <c r="Q425" s="86">
        <f t="shared" si="284"/>
        <v>45651277</v>
      </c>
      <c r="R425" s="161">
        <f t="shared" si="285"/>
        <v>550000</v>
      </c>
      <c r="S425" s="88">
        <f t="shared" si="295"/>
        <v>3268126</v>
      </c>
      <c r="T425" s="424">
        <f>3360095+100000+5031</f>
        <v>3465126</v>
      </c>
      <c r="U425" s="161">
        <f>-200000+3000</f>
        <v>-197000</v>
      </c>
      <c r="V425" s="88">
        <f t="shared" si="296"/>
        <v>49469403</v>
      </c>
      <c r="W425" s="86">
        <f t="shared" si="286"/>
        <v>49116403</v>
      </c>
      <c r="X425" s="161">
        <f t="shared" si="287"/>
        <v>353000</v>
      </c>
      <c r="Y425" s="88">
        <f t="shared" si="297"/>
        <v>169986</v>
      </c>
      <c r="Z425" s="424">
        <v>169986</v>
      </c>
      <c r="AA425" s="161"/>
      <c r="AB425" s="88">
        <f t="shared" si="298"/>
        <v>49639389</v>
      </c>
      <c r="AC425" s="86">
        <f t="shared" si="288"/>
        <v>49286389</v>
      </c>
      <c r="AD425" s="161">
        <f t="shared" si="289"/>
        <v>353000</v>
      </c>
      <c r="AF425" s="46">
        <f t="shared" si="290"/>
        <v>0</v>
      </c>
      <c r="AG425" s="46"/>
    </row>
    <row r="426" spans="1:33" s="100" customFormat="1" ht="12.75">
      <c r="A426" s="366"/>
      <c r="B426" s="109"/>
      <c r="C426" s="122" t="s">
        <v>42</v>
      </c>
      <c r="D426" s="123">
        <v>529328</v>
      </c>
      <c r="E426" s="124">
        <v>529328</v>
      </c>
      <c r="F426" s="125">
        <v>0</v>
      </c>
      <c r="G426" s="123">
        <f t="shared" si="291"/>
        <v>71538</v>
      </c>
      <c r="H426" s="124">
        <f>66777+4761</f>
        <v>71538</v>
      </c>
      <c r="I426" s="125">
        <v>0</v>
      </c>
      <c r="J426" s="123">
        <f t="shared" si="292"/>
        <v>600866</v>
      </c>
      <c r="K426" s="124">
        <f t="shared" si="282"/>
        <v>600866</v>
      </c>
      <c r="L426" s="125">
        <f t="shared" si="283"/>
        <v>0</v>
      </c>
      <c r="M426" s="123">
        <f t="shared" si="293"/>
        <v>0</v>
      </c>
      <c r="N426" s="124"/>
      <c r="O426" s="125">
        <v>0</v>
      </c>
      <c r="P426" s="123">
        <f t="shared" si="294"/>
        <v>600866</v>
      </c>
      <c r="Q426" s="124">
        <f t="shared" si="284"/>
        <v>600866</v>
      </c>
      <c r="R426" s="125">
        <f t="shared" si="285"/>
        <v>0</v>
      </c>
      <c r="S426" s="123">
        <f>T426+U426</f>
        <v>5031</v>
      </c>
      <c r="T426" s="425">
        <v>5031</v>
      </c>
      <c r="U426" s="125">
        <v>0</v>
      </c>
      <c r="V426" s="123">
        <f t="shared" si="296"/>
        <v>605897</v>
      </c>
      <c r="W426" s="124">
        <f t="shared" si="286"/>
        <v>605897</v>
      </c>
      <c r="X426" s="125">
        <f t="shared" si="287"/>
        <v>0</v>
      </c>
      <c r="Y426" s="123">
        <f t="shared" si="297"/>
        <v>0</v>
      </c>
      <c r="Z426" s="425"/>
      <c r="AA426" s="125"/>
      <c r="AB426" s="123">
        <f t="shared" si="298"/>
        <v>605897</v>
      </c>
      <c r="AC426" s="124">
        <f t="shared" si="288"/>
        <v>605897</v>
      </c>
      <c r="AD426" s="125">
        <f t="shared" si="289"/>
        <v>0</v>
      </c>
      <c r="AF426" s="46">
        <f t="shared" si="290"/>
        <v>0</v>
      </c>
      <c r="AG426" s="46"/>
    </row>
    <row r="427" spans="1:33" s="100" customFormat="1" ht="12.75" hidden="1">
      <c r="A427" s="366"/>
      <c r="B427" s="109"/>
      <c r="C427" s="122" t="s">
        <v>261</v>
      </c>
      <c r="D427" s="123">
        <v>0</v>
      </c>
      <c r="E427" s="124">
        <v>0</v>
      </c>
      <c r="F427" s="125">
        <v>0</v>
      </c>
      <c r="G427" s="123">
        <f t="shared" si="291"/>
        <v>0</v>
      </c>
      <c r="H427" s="124"/>
      <c r="I427" s="125">
        <v>0</v>
      </c>
      <c r="J427" s="123">
        <f t="shared" si="292"/>
        <v>0</v>
      </c>
      <c r="K427" s="124">
        <f t="shared" si="282"/>
        <v>0</v>
      </c>
      <c r="L427" s="125">
        <f t="shared" si="283"/>
        <v>0</v>
      </c>
      <c r="M427" s="123">
        <f t="shared" si="293"/>
        <v>0</v>
      </c>
      <c r="N427" s="124"/>
      <c r="O427" s="125">
        <v>0</v>
      </c>
      <c r="P427" s="123">
        <f t="shared" si="294"/>
        <v>0</v>
      </c>
      <c r="Q427" s="124">
        <f t="shared" si="284"/>
        <v>0</v>
      </c>
      <c r="R427" s="125">
        <f t="shared" si="285"/>
        <v>0</v>
      </c>
      <c r="S427" s="123">
        <f t="shared" si="295"/>
        <v>0</v>
      </c>
      <c r="T427" s="124"/>
      <c r="U427" s="125">
        <v>0</v>
      </c>
      <c r="V427" s="123">
        <f t="shared" si="296"/>
        <v>0</v>
      </c>
      <c r="W427" s="124">
        <f t="shared" si="286"/>
        <v>0</v>
      </c>
      <c r="X427" s="125">
        <f t="shared" si="287"/>
        <v>0</v>
      </c>
      <c r="Y427" s="123">
        <f t="shared" si="297"/>
        <v>0</v>
      </c>
      <c r="Z427" s="124"/>
      <c r="AA427" s="125">
        <v>0</v>
      </c>
      <c r="AB427" s="123">
        <f t="shared" si="298"/>
        <v>0</v>
      </c>
      <c r="AC427" s="124">
        <f t="shared" si="288"/>
        <v>0</v>
      </c>
      <c r="AD427" s="125">
        <f t="shared" si="289"/>
        <v>0</v>
      </c>
      <c r="AF427" s="46">
        <f t="shared" si="290"/>
        <v>0</v>
      </c>
      <c r="AG427" s="46"/>
    </row>
    <row r="428" spans="1:33" s="100" customFormat="1" ht="12.75" hidden="1">
      <c r="A428" s="366"/>
      <c r="B428" s="109"/>
      <c r="C428" s="122" t="s">
        <v>262</v>
      </c>
      <c r="D428" s="123">
        <v>0</v>
      </c>
      <c r="E428" s="124">
        <v>0</v>
      </c>
      <c r="F428" s="125">
        <v>0</v>
      </c>
      <c r="G428" s="123">
        <f t="shared" si="291"/>
        <v>0</v>
      </c>
      <c r="H428" s="124"/>
      <c r="I428" s="125">
        <v>0</v>
      </c>
      <c r="J428" s="123">
        <f t="shared" si="292"/>
        <v>0</v>
      </c>
      <c r="K428" s="124">
        <f t="shared" si="282"/>
        <v>0</v>
      </c>
      <c r="L428" s="125">
        <f t="shared" si="283"/>
        <v>0</v>
      </c>
      <c r="M428" s="123">
        <f t="shared" si="293"/>
        <v>0</v>
      </c>
      <c r="N428" s="124"/>
      <c r="O428" s="125">
        <v>0</v>
      </c>
      <c r="P428" s="123">
        <f t="shared" si="294"/>
        <v>0</v>
      </c>
      <c r="Q428" s="124">
        <f t="shared" si="284"/>
        <v>0</v>
      </c>
      <c r="R428" s="125">
        <f t="shared" si="285"/>
        <v>0</v>
      </c>
      <c r="S428" s="123">
        <f t="shared" si="295"/>
        <v>0</v>
      </c>
      <c r="T428" s="124"/>
      <c r="U428" s="125">
        <v>0</v>
      </c>
      <c r="V428" s="123">
        <f t="shared" si="296"/>
        <v>0</v>
      </c>
      <c r="W428" s="124">
        <f t="shared" si="286"/>
        <v>0</v>
      </c>
      <c r="X428" s="125">
        <f t="shared" si="287"/>
        <v>0</v>
      </c>
      <c r="Y428" s="123">
        <f t="shared" si="297"/>
        <v>0</v>
      </c>
      <c r="Z428" s="124"/>
      <c r="AA428" s="125">
        <v>0</v>
      </c>
      <c r="AB428" s="123">
        <f t="shared" si="298"/>
        <v>0</v>
      </c>
      <c r="AC428" s="124">
        <f t="shared" si="288"/>
        <v>0</v>
      </c>
      <c r="AD428" s="125">
        <f t="shared" si="289"/>
        <v>0</v>
      </c>
      <c r="AF428" s="46">
        <f t="shared" si="290"/>
        <v>0</v>
      </c>
      <c r="AG428" s="46"/>
    </row>
    <row r="429" spans="1:33" ht="12.75">
      <c r="A429" s="354"/>
      <c r="B429" s="140"/>
      <c r="C429" s="129" t="s">
        <v>117</v>
      </c>
      <c r="D429" s="112">
        <v>12671516</v>
      </c>
      <c r="E429" s="113">
        <v>12671516</v>
      </c>
      <c r="F429" s="128">
        <v>0</v>
      </c>
      <c r="G429" s="112">
        <f t="shared" si="291"/>
        <v>0</v>
      </c>
      <c r="H429" s="113"/>
      <c r="I429" s="128">
        <v>0</v>
      </c>
      <c r="J429" s="112">
        <f t="shared" si="292"/>
        <v>12671516</v>
      </c>
      <c r="K429" s="113">
        <f t="shared" si="282"/>
        <v>12671516</v>
      </c>
      <c r="L429" s="128">
        <f t="shared" si="283"/>
        <v>0</v>
      </c>
      <c r="M429" s="112">
        <f t="shared" si="293"/>
        <v>0</v>
      </c>
      <c r="N429" s="113"/>
      <c r="O429" s="128">
        <v>0</v>
      </c>
      <c r="P429" s="112">
        <f t="shared" si="294"/>
        <v>12671516</v>
      </c>
      <c r="Q429" s="113">
        <f t="shared" si="284"/>
        <v>12671516</v>
      </c>
      <c r="R429" s="128">
        <f t="shared" si="285"/>
        <v>0</v>
      </c>
      <c r="S429" s="112">
        <f t="shared" si="295"/>
        <v>1979030</v>
      </c>
      <c r="T429" s="113">
        <f>1717240+261790</f>
        <v>1979030</v>
      </c>
      <c r="U429" s="128">
        <v>0</v>
      </c>
      <c r="V429" s="112">
        <f t="shared" si="296"/>
        <v>14650546</v>
      </c>
      <c r="W429" s="113">
        <f t="shared" si="286"/>
        <v>14650546</v>
      </c>
      <c r="X429" s="128">
        <f t="shared" si="287"/>
        <v>0</v>
      </c>
      <c r="Y429" s="112">
        <f t="shared" si="297"/>
        <v>0</v>
      </c>
      <c r="Z429" s="113"/>
      <c r="AA429" s="128"/>
      <c r="AB429" s="112">
        <f t="shared" si="298"/>
        <v>14650546</v>
      </c>
      <c r="AC429" s="113">
        <f t="shared" si="288"/>
        <v>14650546</v>
      </c>
      <c r="AD429" s="128">
        <f t="shared" si="289"/>
        <v>0</v>
      </c>
      <c r="AF429" s="46">
        <f t="shared" si="290"/>
        <v>0</v>
      </c>
      <c r="AG429" s="46"/>
    </row>
    <row r="430" spans="1:33" ht="12.75">
      <c r="A430" s="354"/>
      <c r="B430" s="106">
        <v>80132</v>
      </c>
      <c r="C430" s="83" t="s">
        <v>263</v>
      </c>
      <c r="D430" s="80">
        <v>11633636</v>
      </c>
      <c r="E430" s="81">
        <v>11533636</v>
      </c>
      <c r="F430" s="82">
        <v>100000</v>
      </c>
      <c r="G430" s="80">
        <f>H430+I431</f>
        <v>0</v>
      </c>
      <c r="H430" s="81">
        <f>H431</f>
        <v>0</v>
      </c>
      <c r="I430" s="82">
        <f>I431</f>
        <v>0</v>
      </c>
      <c r="J430" s="80">
        <f>K430+L431</f>
        <v>11633636</v>
      </c>
      <c r="K430" s="81">
        <f t="shared" si="282"/>
        <v>11533636</v>
      </c>
      <c r="L430" s="82">
        <f t="shared" si="283"/>
        <v>100000</v>
      </c>
      <c r="M430" s="80">
        <f>N430+O431</f>
        <v>0</v>
      </c>
      <c r="N430" s="81">
        <f>N431</f>
        <v>0</v>
      </c>
      <c r="O430" s="82">
        <f>O431</f>
        <v>0</v>
      </c>
      <c r="P430" s="80">
        <f>Q430+R431</f>
        <v>11633636</v>
      </c>
      <c r="Q430" s="81">
        <f t="shared" si="284"/>
        <v>11533636</v>
      </c>
      <c r="R430" s="82">
        <f t="shared" si="285"/>
        <v>100000</v>
      </c>
      <c r="S430" s="80">
        <f>T430+U431</f>
        <v>900587</v>
      </c>
      <c r="T430" s="81">
        <f>T431</f>
        <v>900587</v>
      </c>
      <c r="U430" s="82">
        <f>U431</f>
        <v>0</v>
      </c>
      <c r="V430" s="80">
        <f>W430+X431</f>
        <v>12534223</v>
      </c>
      <c r="W430" s="81">
        <f t="shared" si="286"/>
        <v>12434223</v>
      </c>
      <c r="X430" s="82">
        <f t="shared" si="287"/>
        <v>100000</v>
      </c>
      <c r="Y430" s="80">
        <f>Z430+AA431</f>
        <v>-220000</v>
      </c>
      <c r="Z430" s="81">
        <f>Z431</f>
        <v>-220000</v>
      </c>
      <c r="AA430" s="82">
        <f>AA431</f>
        <v>0</v>
      </c>
      <c r="AB430" s="80">
        <f>AC430+AD431</f>
        <v>12314223</v>
      </c>
      <c r="AC430" s="81">
        <f t="shared" si="288"/>
        <v>12214223</v>
      </c>
      <c r="AD430" s="82">
        <f t="shared" si="289"/>
        <v>100000</v>
      </c>
      <c r="AF430" s="46">
        <f t="shared" si="290"/>
        <v>0</v>
      </c>
      <c r="AG430" s="46"/>
    </row>
    <row r="431" spans="1:33" ht="12.75">
      <c r="A431" s="354"/>
      <c r="B431" s="108"/>
      <c r="C431" s="90" t="s">
        <v>115</v>
      </c>
      <c r="D431" s="91">
        <v>11633636</v>
      </c>
      <c r="E431" s="92">
        <v>11533636</v>
      </c>
      <c r="F431" s="186">
        <v>100000</v>
      </c>
      <c r="G431" s="91">
        <f aca="true" t="shared" si="299" ref="G431:G439">H431+I431</f>
        <v>0</v>
      </c>
      <c r="H431" s="92"/>
      <c r="I431" s="186"/>
      <c r="J431" s="91">
        <f aca="true" t="shared" si="300" ref="J431:J439">K431+L431</f>
        <v>11633636</v>
      </c>
      <c r="K431" s="92">
        <f t="shared" si="282"/>
        <v>11533636</v>
      </c>
      <c r="L431" s="186">
        <f t="shared" si="283"/>
        <v>100000</v>
      </c>
      <c r="M431" s="91">
        <f aca="true" t="shared" si="301" ref="M431:M439">N431+O431</f>
        <v>0</v>
      </c>
      <c r="N431" s="92"/>
      <c r="O431" s="186"/>
      <c r="P431" s="91">
        <f aca="true" t="shared" si="302" ref="P431:P439">Q431+R431</f>
        <v>11633636</v>
      </c>
      <c r="Q431" s="92">
        <f t="shared" si="284"/>
        <v>11533636</v>
      </c>
      <c r="R431" s="186">
        <f t="shared" si="285"/>
        <v>100000</v>
      </c>
      <c r="S431" s="91">
        <f aca="true" t="shared" si="303" ref="S431:S439">T431+U431</f>
        <v>900587</v>
      </c>
      <c r="T431" s="422">
        <f>874267+26320</f>
        <v>900587</v>
      </c>
      <c r="U431" s="186"/>
      <c r="V431" s="91">
        <f aca="true" t="shared" si="304" ref="V431:V439">W431+X431</f>
        <v>12534223</v>
      </c>
      <c r="W431" s="92">
        <f t="shared" si="286"/>
        <v>12434223</v>
      </c>
      <c r="X431" s="186">
        <f t="shared" si="287"/>
        <v>100000</v>
      </c>
      <c r="Y431" s="91">
        <f aca="true" t="shared" si="305" ref="Y431:Y439">Z431+AA431</f>
        <v>-220000</v>
      </c>
      <c r="Z431" s="422">
        <v>-220000</v>
      </c>
      <c r="AA431" s="186"/>
      <c r="AB431" s="91">
        <f aca="true" t="shared" si="306" ref="AB431:AB439">AC431+AD431</f>
        <v>12314223</v>
      </c>
      <c r="AC431" s="92">
        <f t="shared" si="288"/>
        <v>12214223</v>
      </c>
      <c r="AD431" s="186">
        <f t="shared" si="289"/>
        <v>100000</v>
      </c>
      <c r="AF431" s="46">
        <f t="shared" si="290"/>
        <v>0</v>
      </c>
      <c r="AG431" s="46"/>
    </row>
    <row r="432" spans="1:33" ht="12.75" customHeight="1" hidden="1">
      <c r="A432" s="354"/>
      <c r="B432" s="140"/>
      <c r="C432" s="129" t="s">
        <v>209</v>
      </c>
      <c r="D432" s="112" t="e">
        <v>#REF!</v>
      </c>
      <c r="E432" s="113" t="e">
        <v>#REF!</v>
      </c>
      <c r="F432" s="128" t="e">
        <v>#REF!</v>
      </c>
      <c r="G432" s="112" t="e">
        <f t="shared" si="299"/>
        <v>#REF!</v>
      </c>
      <c r="H432" s="113" t="e">
        <f>#REF!+#REF!</f>
        <v>#REF!</v>
      </c>
      <c r="I432" s="128" t="e">
        <f>#REF!+#REF!</f>
        <v>#REF!</v>
      </c>
      <c r="J432" s="112" t="e">
        <f t="shared" si="300"/>
        <v>#REF!</v>
      </c>
      <c r="K432" s="113" t="e">
        <f t="shared" si="282"/>
        <v>#REF!</v>
      </c>
      <c r="L432" s="128" t="e">
        <f t="shared" si="283"/>
        <v>#REF!</v>
      </c>
      <c r="M432" s="112" t="e">
        <f t="shared" si="301"/>
        <v>#REF!</v>
      </c>
      <c r="N432" s="113" t="e">
        <f>#REF!+#REF!</f>
        <v>#REF!</v>
      </c>
      <c r="O432" s="128" t="e">
        <f>#REF!+#REF!</f>
        <v>#REF!</v>
      </c>
      <c r="P432" s="112" t="e">
        <f t="shared" si="302"/>
        <v>#REF!</v>
      </c>
      <c r="Q432" s="113" t="e">
        <f t="shared" si="284"/>
        <v>#REF!</v>
      </c>
      <c r="R432" s="128" t="e">
        <f t="shared" si="285"/>
        <v>#REF!</v>
      </c>
      <c r="S432" s="112" t="e">
        <f t="shared" si="303"/>
        <v>#REF!</v>
      </c>
      <c r="T432" s="113" t="e">
        <f>#REF!+#REF!</f>
        <v>#REF!</v>
      </c>
      <c r="U432" s="128" t="e">
        <f>#REF!+#REF!</f>
        <v>#REF!</v>
      </c>
      <c r="V432" s="112" t="e">
        <f t="shared" si="304"/>
        <v>#REF!</v>
      </c>
      <c r="W432" s="113" t="e">
        <f t="shared" si="286"/>
        <v>#REF!</v>
      </c>
      <c r="X432" s="128" t="e">
        <f t="shared" si="287"/>
        <v>#REF!</v>
      </c>
      <c r="Y432" s="112" t="e">
        <f t="shared" si="305"/>
        <v>#REF!</v>
      </c>
      <c r="Z432" s="113" t="e">
        <f>#REF!+#REF!</f>
        <v>#REF!</v>
      </c>
      <c r="AA432" s="128" t="e">
        <f>#REF!+#REF!</f>
        <v>#REF!</v>
      </c>
      <c r="AB432" s="112" t="e">
        <f t="shared" si="306"/>
        <v>#REF!</v>
      </c>
      <c r="AC432" s="113" t="e">
        <f t="shared" si="288"/>
        <v>#REF!</v>
      </c>
      <c r="AD432" s="128" t="e">
        <f t="shared" si="289"/>
        <v>#REF!</v>
      </c>
      <c r="AF432" s="46" t="e">
        <f t="shared" si="290"/>
        <v>#REF!</v>
      </c>
      <c r="AG432" s="46"/>
    </row>
    <row r="433" spans="1:33" ht="12.75">
      <c r="A433" s="354"/>
      <c r="B433" s="106">
        <v>80134</v>
      </c>
      <c r="C433" s="83" t="s">
        <v>264</v>
      </c>
      <c r="D433" s="80">
        <v>9244836</v>
      </c>
      <c r="E433" s="81">
        <v>8994836</v>
      </c>
      <c r="F433" s="82">
        <v>250000</v>
      </c>
      <c r="G433" s="80">
        <f t="shared" si="299"/>
        <v>0</v>
      </c>
      <c r="H433" s="81">
        <f>H434</f>
        <v>0</v>
      </c>
      <c r="I433" s="82">
        <f>I434</f>
        <v>0</v>
      </c>
      <c r="J433" s="80">
        <f t="shared" si="300"/>
        <v>9244836</v>
      </c>
      <c r="K433" s="81">
        <f t="shared" si="282"/>
        <v>8994836</v>
      </c>
      <c r="L433" s="82">
        <f t="shared" si="283"/>
        <v>250000</v>
      </c>
      <c r="M433" s="80">
        <f t="shared" si="301"/>
        <v>0</v>
      </c>
      <c r="N433" s="81">
        <f>N434</f>
        <v>0</v>
      </c>
      <c r="O433" s="82">
        <f>O434</f>
        <v>0</v>
      </c>
      <c r="P433" s="80">
        <f t="shared" si="302"/>
        <v>9244836</v>
      </c>
      <c r="Q433" s="81">
        <f t="shared" si="284"/>
        <v>8994836</v>
      </c>
      <c r="R433" s="82">
        <f t="shared" si="285"/>
        <v>250000</v>
      </c>
      <c r="S433" s="80">
        <f t="shared" si="303"/>
        <v>706849</v>
      </c>
      <c r="T433" s="81">
        <f>T434</f>
        <v>706849</v>
      </c>
      <c r="U433" s="82">
        <f>U434</f>
        <v>0</v>
      </c>
      <c r="V433" s="80">
        <f t="shared" si="304"/>
        <v>9951685</v>
      </c>
      <c r="W433" s="81">
        <f t="shared" si="286"/>
        <v>9701685</v>
      </c>
      <c r="X433" s="82">
        <f t="shared" si="287"/>
        <v>250000</v>
      </c>
      <c r="Y433" s="80">
        <f t="shared" si="305"/>
        <v>-559916</v>
      </c>
      <c r="Z433" s="81">
        <f>Z434</f>
        <v>-559916</v>
      </c>
      <c r="AA433" s="82">
        <f>AA434</f>
        <v>0</v>
      </c>
      <c r="AB433" s="80">
        <f t="shared" si="306"/>
        <v>9391769</v>
      </c>
      <c r="AC433" s="81">
        <f t="shared" si="288"/>
        <v>9141769</v>
      </c>
      <c r="AD433" s="82">
        <f t="shared" si="289"/>
        <v>250000</v>
      </c>
      <c r="AF433" s="46">
        <f t="shared" si="290"/>
        <v>0</v>
      </c>
      <c r="AG433" s="46"/>
    </row>
    <row r="434" spans="1:33" ht="12.75">
      <c r="A434" s="354"/>
      <c r="B434" s="108"/>
      <c r="C434" s="90" t="s">
        <v>115</v>
      </c>
      <c r="D434" s="91">
        <v>9244836</v>
      </c>
      <c r="E434" s="92">
        <v>8994836</v>
      </c>
      <c r="F434" s="186">
        <v>250000</v>
      </c>
      <c r="G434" s="91">
        <f t="shared" si="299"/>
        <v>0</v>
      </c>
      <c r="H434" s="92"/>
      <c r="I434" s="186"/>
      <c r="J434" s="91">
        <f t="shared" si="300"/>
        <v>9244836</v>
      </c>
      <c r="K434" s="92">
        <f t="shared" si="282"/>
        <v>8994836</v>
      </c>
      <c r="L434" s="186">
        <f t="shared" si="283"/>
        <v>250000</v>
      </c>
      <c r="M434" s="91">
        <f t="shared" si="301"/>
        <v>0</v>
      </c>
      <c r="N434" s="92"/>
      <c r="O434" s="186"/>
      <c r="P434" s="91">
        <f t="shared" si="302"/>
        <v>9244836</v>
      </c>
      <c r="Q434" s="92">
        <f t="shared" si="284"/>
        <v>8994836</v>
      </c>
      <c r="R434" s="186">
        <f t="shared" si="285"/>
        <v>250000</v>
      </c>
      <c r="S434" s="91">
        <f t="shared" si="303"/>
        <v>706849</v>
      </c>
      <c r="T434" s="92">
        <v>706849</v>
      </c>
      <c r="U434" s="186"/>
      <c r="V434" s="91">
        <f t="shared" si="304"/>
        <v>9951685</v>
      </c>
      <c r="W434" s="92">
        <f t="shared" si="286"/>
        <v>9701685</v>
      </c>
      <c r="X434" s="186">
        <f t="shared" si="287"/>
        <v>250000</v>
      </c>
      <c r="Y434" s="91">
        <f t="shared" si="305"/>
        <v>-559916</v>
      </c>
      <c r="Z434" s="92">
        <v>-559916</v>
      </c>
      <c r="AA434" s="186"/>
      <c r="AB434" s="91">
        <f t="shared" si="306"/>
        <v>9391769</v>
      </c>
      <c r="AC434" s="92">
        <f t="shared" si="288"/>
        <v>9141769</v>
      </c>
      <c r="AD434" s="186">
        <f t="shared" si="289"/>
        <v>250000</v>
      </c>
      <c r="AF434" s="46">
        <f t="shared" si="290"/>
        <v>0</v>
      </c>
      <c r="AG434" s="46"/>
    </row>
    <row r="435" spans="1:33" ht="12.75">
      <c r="A435" s="354"/>
      <c r="B435" s="106">
        <v>80140</v>
      </c>
      <c r="C435" s="83" t="s">
        <v>265</v>
      </c>
      <c r="D435" s="80">
        <v>3071142</v>
      </c>
      <c r="E435" s="81">
        <v>3071142</v>
      </c>
      <c r="F435" s="82">
        <v>0</v>
      </c>
      <c r="G435" s="80">
        <f t="shared" si="299"/>
        <v>20403</v>
      </c>
      <c r="H435" s="81">
        <f>H436</f>
        <v>20403</v>
      </c>
      <c r="I435" s="82">
        <f>I436</f>
        <v>0</v>
      </c>
      <c r="J435" s="80">
        <f t="shared" si="300"/>
        <v>3091545</v>
      </c>
      <c r="K435" s="81">
        <f t="shared" si="282"/>
        <v>3091545</v>
      </c>
      <c r="L435" s="82">
        <f t="shared" si="283"/>
        <v>0</v>
      </c>
      <c r="M435" s="80">
        <f t="shared" si="301"/>
        <v>0</v>
      </c>
      <c r="N435" s="81">
        <f>N436</f>
        <v>0</v>
      </c>
      <c r="O435" s="82">
        <f>O436</f>
        <v>0</v>
      </c>
      <c r="P435" s="80">
        <f t="shared" si="302"/>
        <v>3091545</v>
      </c>
      <c r="Q435" s="81">
        <f t="shared" si="284"/>
        <v>3091545</v>
      </c>
      <c r="R435" s="82">
        <f t="shared" si="285"/>
        <v>0</v>
      </c>
      <c r="S435" s="80">
        <f t="shared" si="303"/>
        <v>215889</v>
      </c>
      <c r="T435" s="81">
        <f>T436</f>
        <v>215889</v>
      </c>
      <c r="U435" s="82">
        <f>U436</f>
        <v>0</v>
      </c>
      <c r="V435" s="80">
        <f t="shared" si="304"/>
        <v>3307434</v>
      </c>
      <c r="W435" s="81">
        <f t="shared" si="286"/>
        <v>3307434</v>
      </c>
      <c r="X435" s="82">
        <f t="shared" si="287"/>
        <v>0</v>
      </c>
      <c r="Y435" s="80">
        <f t="shared" si="305"/>
        <v>0</v>
      </c>
      <c r="Z435" s="81">
        <f>Z436</f>
        <v>0</v>
      </c>
      <c r="AA435" s="82">
        <f>AA436</f>
        <v>0</v>
      </c>
      <c r="AB435" s="80">
        <f t="shared" si="306"/>
        <v>3307434</v>
      </c>
      <c r="AC435" s="81">
        <f t="shared" si="288"/>
        <v>3307434</v>
      </c>
      <c r="AD435" s="82">
        <f t="shared" si="289"/>
        <v>0</v>
      </c>
      <c r="AF435" s="46">
        <f t="shared" si="290"/>
        <v>0</v>
      </c>
      <c r="AG435" s="46"/>
    </row>
    <row r="436" spans="1:33" ht="12.75">
      <c r="A436" s="354"/>
      <c r="B436" s="108"/>
      <c r="C436" s="90" t="s">
        <v>115</v>
      </c>
      <c r="D436" s="91">
        <v>3071142</v>
      </c>
      <c r="E436" s="92">
        <v>3071142</v>
      </c>
      <c r="F436" s="186">
        <v>0</v>
      </c>
      <c r="G436" s="91">
        <f t="shared" si="299"/>
        <v>20403</v>
      </c>
      <c r="H436" s="92">
        <v>20403</v>
      </c>
      <c r="I436" s="186">
        <v>0</v>
      </c>
      <c r="J436" s="91">
        <f t="shared" si="300"/>
        <v>3091545</v>
      </c>
      <c r="K436" s="92">
        <f t="shared" si="282"/>
        <v>3091545</v>
      </c>
      <c r="L436" s="186">
        <f t="shared" si="283"/>
        <v>0</v>
      </c>
      <c r="M436" s="91">
        <f t="shared" si="301"/>
        <v>0</v>
      </c>
      <c r="N436" s="92">
        <v>0</v>
      </c>
      <c r="O436" s="186">
        <v>0</v>
      </c>
      <c r="P436" s="91">
        <f t="shared" si="302"/>
        <v>3091545</v>
      </c>
      <c r="Q436" s="92">
        <f t="shared" si="284"/>
        <v>3091545</v>
      </c>
      <c r="R436" s="186">
        <f t="shared" si="285"/>
        <v>0</v>
      </c>
      <c r="S436" s="91">
        <f t="shared" si="303"/>
        <v>215889</v>
      </c>
      <c r="T436" s="92">
        <f>215889</f>
        <v>215889</v>
      </c>
      <c r="U436" s="186">
        <v>0</v>
      </c>
      <c r="V436" s="91">
        <f t="shared" si="304"/>
        <v>3307434</v>
      </c>
      <c r="W436" s="92">
        <f t="shared" si="286"/>
        <v>3307434</v>
      </c>
      <c r="X436" s="186">
        <f t="shared" si="287"/>
        <v>0</v>
      </c>
      <c r="Y436" s="91">
        <f t="shared" si="305"/>
        <v>0</v>
      </c>
      <c r="Z436" s="92"/>
      <c r="AA436" s="186"/>
      <c r="AB436" s="91">
        <f t="shared" si="306"/>
        <v>3307434</v>
      </c>
      <c r="AC436" s="92">
        <f t="shared" si="288"/>
        <v>3307434</v>
      </c>
      <c r="AD436" s="186">
        <f t="shared" si="289"/>
        <v>0</v>
      </c>
      <c r="AF436" s="46">
        <f t="shared" si="290"/>
        <v>0</v>
      </c>
      <c r="AG436" s="46"/>
    </row>
    <row r="437" spans="1:33" s="100" customFormat="1" ht="12.75" customHeight="1" hidden="1">
      <c r="A437" s="366"/>
      <c r="B437" s="109"/>
      <c r="C437" s="122" t="s">
        <v>42</v>
      </c>
      <c r="D437" s="123">
        <v>0</v>
      </c>
      <c r="E437" s="124">
        <v>0</v>
      </c>
      <c r="F437" s="125">
        <v>0</v>
      </c>
      <c r="G437" s="123">
        <f t="shared" si="299"/>
        <v>0</v>
      </c>
      <c r="H437" s="124">
        <v>0</v>
      </c>
      <c r="I437" s="125">
        <v>0</v>
      </c>
      <c r="J437" s="123">
        <f t="shared" si="300"/>
        <v>0</v>
      </c>
      <c r="K437" s="124">
        <f t="shared" si="282"/>
        <v>0</v>
      </c>
      <c r="L437" s="125">
        <f t="shared" si="283"/>
        <v>0</v>
      </c>
      <c r="M437" s="123">
        <f t="shared" si="301"/>
        <v>0</v>
      </c>
      <c r="N437" s="124">
        <v>0</v>
      </c>
      <c r="O437" s="125">
        <v>0</v>
      </c>
      <c r="P437" s="123">
        <f t="shared" si="302"/>
        <v>0</v>
      </c>
      <c r="Q437" s="124">
        <f t="shared" si="284"/>
        <v>0</v>
      </c>
      <c r="R437" s="125">
        <f t="shared" si="285"/>
        <v>0</v>
      </c>
      <c r="S437" s="123">
        <f t="shared" si="303"/>
        <v>0</v>
      </c>
      <c r="T437" s="124">
        <v>0</v>
      </c>
      <c r="U437" s="125">
        <v>0</v>
      </c>
      <c r="V437" s="123">
        <f t="shared" si="304"/>
        <v>0</v>
      </c>
      <c r="W437" s="124">
        <f t="shared" si="286"/>
        <v>0</v>
      </c>
      <c r="X437" s="125">
        <f t="shared" si="287"/>
        <v>0</v>
      </c>
      <c r="Y437" s="123">
        <f t="shared" si="305"/>
        <v>0</v>
      </c>
      <c r="Z437" s="124">
        <v>0</v>
      </c>
      <c r="AA437" s="125">
        <v>0</v>
      </c>
      <c r="AB437" s="123">
        <f t="shared" si="306"/>
        <v>0</v>
      </c>
      <c r="AC437" s="124">
        <f t="shared" si="288"/>
        <v>0</v>
      </c>
      <c r="AD437" s="125">
        <f t="shared" si="289"/>
        <v>0</v>
      </c>
      <c r="AF437" s="46">
        <f t="shared" si="290"/>
        <v>0</v>
      </c>
      <c r="AG437" s="46"/>
    </row>
    <row r="438" spans="1:33" ht="12.75">
      <c r="A438" s="354"/>
      <c r="B438" s="106">
        <v>80146</v>
      </c>
      <c r="C438" s="83" t="s">
        <v>130</v>
      </c>
      <c r="D438" s="80">
        <v>1273655</v>
      </c>
      <c r="E438" s="138">
        <v>1273655</v>
      </c>
      <c r="F438" s="139">
        <v>0</v>
      </c>
      <c r="G438" s="80">
        <f t="shared" si="299"/>
        <v>0</v>
      </c>
      <c r="H438" s="138"/>
      <c r="I438" s="139">
        <v>0</v>
      </c>
      <c r="J438" s="80">
        <f t="shared" si="300"/>
        <v>1273655</v>
      </c>
      <c r="K438" s="138">
        <f t="shared" si="282"/>
        <v>1273655</v>
      </c>
      <c r="L438" s="139">
        <f t="shared" si="283"/>
        <v>0</v>
      </c>
      <c r="M438" s="80">
        <f t="shared" si="301"/>
        <v>0</v>
      </c>
      <c r="N438" s="138"/>
      <c r="O438" s="139">
        <v>0</v>
      </c>
      <c r="P438" s="80">
        <f t="shared" si="302"/>
        <v>1273655</v>
      </c>
      <c r="Q438" s="138">
        <f t="shared" si="284"/>
        <v>1273655</v>
      </c>
      <c r="R438" s="139">
        <f t="shared" si="285"/>
        <v>0</v>
      </c>
      <c r="S438" s="80">
        <f t="shared" si="303"/>
        <v>47071</v>
      </c>
      <c r="T438" s="138">
        <f>2314+44757</f>
        <v>47071</v>
      </c>
      <c r="U438" s="139">
        <v>0</v>
      </c>
      <c r="V438" s="80">
        <f t="shared" si="304"/>
        <v>1320726</v>
      </c>
      <c r="W438" s="138">
        <f t="shared" si="286"/>
        <v>1320726</v>
      </c>
      <c r="X438" s="139">
        <f t="shared" si="287"/>
        <v>0</v>
      </c>
      <c r="Y438" s="80">
        <f t="shared" si="305"/>
        <v>-3034</v>
      </c>
      <c r="Z438" s="138">
        <v>-3034</v>
      </c>
      <c r="AA438" s="139"/>
      <c r="AB438" s="80">
        <f t="shared" si="306"/>
        <v>1317692</v>
      </c>
      <c r="AC438" s="138">
        <f t="shared" si="288"/>
        <v>1317692</v>
      </c>
      <c r="AD438" s="139">
        <f t="shared" si="289"/>
        <v>0</v>
      </c>
      <c r="AF438" s="46">
        <f t="shared" si="290"/>
        <v>0</v>
      </c>
      <c r="AG438" s="46"/>
    </row>
    <row r="439" spans="1:35" ht="12.75">
      <c r="A439" s="354"/>
      <c r="B439" s="285">
        <v>80195</v>
      </c>
      <c r="C439" s="83" t="s">
        <v>80</v>
      </c>
      <c r="D439" s="112">
        <v>2689284</v>
      </c>
      <c r="E439" s="138">
        <v>2689284</v>
      </c>
      <c r="F439" s="139">
        <v>0</v>
      </c>
      <c r="G439" s="112">
        <f t="shared" si="299"/>
        <v>0</v>
      </c>
      <c r="H439" s="138"/>
      <c r="I439" s="139">
        <v>0</v>
      </c>
      <c r="J439" s="112">
        <f t="shared" si="300"/>
        <v>2689284</v>
      </c>
      <c r="K439" s="138">
        <f t="shared" si="282"/>
        <v>2689284</v>
      </c>
      <c r="L439" s="139">
        <f t="shared" si="283"/>
        <v>0</v>
      </c>
      <c r="M439" s="112">
        <f t="shared" si="301"/>
        <v>0</v>
      </c>
      <c r="N439" s="138"/>
      <c r="O439" s="139">
        <v>0</v>
      </c>
      <c r="P439" s="112">
        <f t="shared" si="302"/>
        <v>2689284</v>
      </c>
      <c r="Q439" s="138">
        <f t="shared" si="284"/>
        <v>2689284</v>
      </c>
      <c r="R439" s="139">
        <f t="shared" si="285"/>
        <v>0</v>
      </c>
      <c r="S439" s="112">
        <f t="shared" si="303"/>
        <v>91319</v>
      </c>
      <c r="T439" s="138">
        <f>T440+T442+T441</f>
        <v>91319</v>
      </c>
      <c r="U439" s="139">
        <v>0</v>
      </c>
      <c r="V439" s="112">
        <f t="shared" si="304"/>
        <v>2780603</v>
      </c>
      <c r="W439" s="138">
        <f t="shared" si="286"/>
        <v>2780603</v>
      </c>
      <c r="X439" s="139">
        <f t="shared" si="287"/>
        <v>0</v>
      </c>
      <c r="Y439" s="112">
        <f t="shared" si="305"/>
        <v>0</v>
      </c>
      <c r="Z439" s="138">
        <f>Z440+Z442+Z441</f>
        <v>0</v>
      </c>
      <c r="AA439" s="139">
        <v>0</v>
      </c>
      <c r="AB439" s="112">
        <f t="shared" si="306"/>
        <v>2780603</v>
      </c>
      <c r="AC439" s="138">
        <f t="shared" si="288"/>
        <v>2780603</v>
      </c>
      <c r="AD439" s="139">
        <f t="shared" si="289"/>
        <v>0</v>
      </c>
      <c r="AF439" s="46">
        <f t="shared" si="290"/>
        <v>0</v>
      </c>
      <c r="AG439" s="46"/>
      <c r="AI439" s="46"/>
    </row>
    <row r="440" spans="1:33" ht="12.75">
      <c r="A440" s="354"/>
      <c r="B440" s="130"/>
      <c r="C440" s="85" t="s">
        <v>131</v>
      </c>
      <c r="D440" s="88">
        <v>137000</v>
      </c>
      <c r="E440" s="288">
        <v>137000</v>
      </c>
      <c r="F440" s="161">
        <v>0</v>
      </c>
      <c r="G440" s="88">
        <f>SUM(H440:I440)</f>
        <v>0</v>
      </c>
      <c r="H440" s="288"/>
      <c r="I440" s="161"/>
      <c r="J440" s="88">
        <f>SUM(K440:L440)</f>
        <v>137000</v>
      </c>
      <c r="K440" s="288">
        <f t="shared" si="282"/>
        <v>137000</v>
      </c>
      <c r="L440" s="161">
        <f t="shared" si="283"/>
        <v>0</v>
      </c>
      <c r="M440" s="88">
        <f>SUM(N440:O440)</f>
        <v>0</v>
      </c>
      <c r="N440" s="288"/>
      <c r="O440" s="161"/>
      <c r="P440" s="88">
        <f>SUM(Q440:R440)</f>
        <v>137000</v>
      </c>
      <c r="Q440" s="288">
        <f t="shared" si="284"/>
        <v>137000</v>
      </c>
      <c r="R440" s="161">
        <f t="shared" si="285"/>
        <v>0</v>
      </c>
      <c r="S440" s="88">
        <f>SUM(T440:U440)</f>
        <v>204036</v>
      </c>
      <c r="T440" s="288">
        <f>-137000+1+341035</f>
        <v>204036</v>
      </c>
      <c r="U440" s="161"/>
      <c r="V440" s="88">
        <f>SUM(W440:X440)</f>
        <v>341036</v>
      </c>
      <c r="W440" s="288">
        <f t="shared" si="286"/>
        <v>341036</v>
      </c>
      <c r="X440" s="161">
        <f t="shared" si="287"/>
        <v>0</v>
      </c>
      <c r="Y440" s="88">
        <f>SUM(Z440:AA440)</f>
        <v>0</v>
      </c>
      <c r="Z440" s="288"/>
      <c r="AA440" s="161"/>
      <c r="AB440" s="88">
        <f>SUM(AC440:AD440)</f>
        <v>341036</v>
      </c>
      <c r="AC440" s="288">
        <f t="shared" si="288"/>
        <v>341036</v>
      </c>
      <c r="AD440" s="161">
        <f t="shared" si="289"/>
        <v>0</v>
      </c>
      <c r="AF440" s="46">
        <f t="shared" si="290"/>
        <v>0</v>
      </c>
      <c r="AG440" s="46"/>
    </row>
    <row r="441" spans="1:33" ht="12.75">
      <c r="A441" s="354"/>
      <c r="B441" s="108"/>
      <c r="C441" s="90" t="s">
        <v>266</v>
      </c>
      <c r="D441" s="91">
        <v>258122</v>
      </c>
      <c r="E441" s="118">
        <v>258122</v>
      </c>
      <c r="F441" s="186">
        <v>0</v>
      </c>
      <c r="G441" s="91">
        <f>SUM(H441:I441)</f>
        <v>0</v>
      </c>
      <c r="H441" s="118"/>
      <c r="I441" s="186"/>
      <c r="J441" s="91">
        <f>SUM(K441:L441)</f>
        <v>258122</v>
      </c>
      <c r="K441" s="118">
        <f t="shared" si="282"/>
        <v>258122</v>
      </c>
      <c r="L441" s="186">
        <f t="shared" si="283"/>
        <v>0</v>
      </c>
      <c r="M441" s="91">
        <f>SUM(N441:O441)</f>
        <v>0</v>
      </c>
      <c r="N441" s="118"/>
      <c r="O441" s="186"/>
      <c r="P441" s="91">
        <f>SUM(Q441:R441)</f>
        <v>258122</v>
      </c>
      <c r="Q441" s="118">
        <f t="shared" si="284"/>
        <v>258122</v>
      </c>
      <c r="R441" s="186">
        <f t="shared" si="285"/>
        <v>0</v>
      </c>
      <c r="S441" s="91">
        <f>SUM(T441:U441)</f>
        <v>0</v>
      </c>
      <c r="T441" s="118"/>
      <c r="U441" s="186"/>
      <c r="V441" s="91">
        <f>SUM(W441:X441)</f>
        <v>258122</v>
      </c>
      <c r="W441" s="118">
        <f t="shared" si="286"/>
        <v>258122</v>
      </c>
      <c r="X441" s="186">
        <f t="shared" si="287"/>
        <v>0</v>
      </c>
      <c r="Y441" s="91">
        <f>SUM(Z441:AA441)</f>
        <v>0</v>
      </c>
      <c r="Z441" s="118"/>
      <c r="AA441" s="186"/>
      <c r="AB441" s="91">
        <f>SUM(AC441:AD441)</f>
        <v>258122</v>
      </c>
      <c r="AC441" s="118">
        <f t="shared" si="288"/>
        <v>258122</v>
      </c>
      <c r="AD441" s="186">
        <f t="shared" si="289"/>
        <v>0</v>
      </c>
      <c r="AF441" s="46">
        <f t="shared" si="290"/>
        <v>0</v>
      </c>
      <c r="AG441" s="46"/>
    </row>
    <row r="442" spans="1:33" ht="12.75">
      <c r="A442" s="354"/>
      <c r="B442" s="140"/>
      <c r="C442" s="129" t="s">
        <v>132</v>
      </c>
      <c r="D442" s="112">
        <v>2294162</v>
      </c>
      <c r="E442" s="142">
        <v>2294162</v>
      </c>
      <c r="F442" s="128">
        <v>0</v>
      </c>
      <c r="G442" s="112">
        <f aca="true" t="shared" si="307" ref="G442:G489">H442+I442</f>
        <v>0</v>
      </c>
      <c r="H442" s="142"/>
      <c r="I442" s="128">
        <v>0</v>
      </c>
      <c r="J442" s="112">
        <f aca="true" t="shared" si="308" ref="J442:J489">K442+L442</f>
        <v>2294162</v>
      </c>
      <c r="K442" s="142">
        <f t="shared" si="282"/>
        <v>2294162</v>
      </c>
      <c r="L442" s="128">
        <f t="shared" si="283"/>
        <v>0</v>
      </c>
      <c r="M442" s="112">
        <f aca="true" t="shared" si="309" ref="M442:M489">N442+O442</f>
        <v>0</v>
      </c>
      <c r="N442" s="142"/>
      <c r="O442" s="128">
        <v>0</v>
      </c>
      <c r="P442" s="112">
        <f aca="true" t="shared" si="310" ref="P442:P489">Q442+R442</f>
        <v>2294162</v>
      </c>
      <c r="Q442" s="142">
        <f t="shared" si="284"/>
        <v>2294162</v>
      </c>
      <c r="R442" s="128">
        <f t="shared" si="285"/>
        <v>0</v>
      </c>
      <c r="S442" s="112">
        <f aca="true" t="shared" si="311" ref="S442:S489">T442+U442</f>
        <v>-112717</v>
      </c>
      <c r="T442" s="142">
        <v>-112717</v>
      </c>
      <c r="U442" s="128">
        <v>0</v>
      </c>
      <c r="V442" s="112">
        <f aca="true" t="shared" si="312" ref="V442:V489">W442+X442</f>
        <v>2181445</v>
      </c>
      <c r="W442" s="142">
        <f t="shared" si="286"/>
        <v>2181445</v>
      </c>
      <c r="X442" s="128">
        <f t="shared" si="287"/>
        <v>0</v>
      </c>
      <c r="Y442" s="112">
        <f aca="true" t="shared" si="313" ref="Y442:Y465">Z442+AA442</f>
        <v>0</v>
      </c>
      <c r="Z442" s="142"/>
      <c r="AA442" s="128"/>
      <c r="AB442" s="112">
        <f aca="true" t="shared" si="314" ref="AB442:AB465">AC442+AD442</f>
        <v>2181445</v>
      </c>
      <c r="AC442" s="142">
        <f t="shared" si="288"/>
        <v>2181445</v>
      </c>
      <c r="AD442" s="128">
        <f t="shared" si="289"/>
        <v>0</v>
      </c>
      <c r="AF442" s="46">
        <f t="shared" si="290"/>
        <v>0</v>
      </c>
      <c r="AG442" s="46"/>
    </row>
    <row r="443" spans="1:33" ht="12.75" hidden="1">
      <c r="A443" s="354"/>
      <c r="B443" s="140"/>
      <c r="C443" s="129" t="s">
        <v>267</v>
      </c>
      <c r="D443" s="80">
        <v>0</v>
      </c>
      <c r="E443" s="138"/>
      <c r="F443" s="190"/>
      <c r="G443" s="80">
        <f t="shared" si="307"/>
        <v>0</v>
      </c>
      <c r="H443" s="138"/>
      <c r="I443" s="190"/>
      <c r="J443" s="80">
        <f t="shared" si="308"/>
        <v>0</v>
      </c>
      <c r="K443" s="138"/>
      <c r="L443" s="190"/>
      <c r="M443" s="80">
        <f t="shared" si="309"/>
        <v>0</v>
      </c>
      <c r="N443" s="138"/>
      <c r="O443" s="190"/>
      <c r="P443" s="80">
        <f t="shared" si="310"/>
        <v>0</v>
      </c>
      <c r="Q443" s="138"/>
      <c r="R443" s="190"/>
      <c r="S443" s="80">
        <f t="shared" si="311"/>
        <v>0</v>
      </c>
      <c r="T443" s="138"/>
      <c r="U443" s="190"/>
      <c r="V443" s="80">
        <f t="shared" si="312"/>
        <v>0</v>
      </c>
      <c r="W443" s="138"/>
      <c r="X443" s="190"/>
      <c r="Y443" s="80">
        <f t="shared" si="313"/>
        <v>0</v>
      </c>
      <c r="Z443" s="138"/>
      <c r="AA443" s="190"/>
      <c r="AB443" s="80">
        <f t="shared" si="314"/>
        <v>0</v>
      </c>
      <c r="AC443" s="138"/>
      <c r="AD443" s="190"/>
      <c r="AF443" s="46">
        <f t="shared" si="290"/>
        <v>0</v>
      </c>
      <c r="AG443" s="46"/>
    </row>
    <row r="444" spans="1:33" ht="12.75">
      <c r="A444" s="354"/>
      <c r="B444" s="133">
        <v>851</v>
      </c>
      <c r="C444" s="134" t="s">
        <v>135</v>
      </c>
      <c r="D444" s="75">
        <v>74385200</v>
      </c>
      <c r="E444" s="76">
        <v>0</v>
      </c>
      <c r="F444" s="171">
        <v>74385200</v>
      </c>
      <c r="G444" s="75">
        <f t="shared" si="307"/>
        <v>3023000</v>
      </c>
      <c r="H444" s="76">
        <f>H445+H447+H446</f>
        <v>0</v>
      </c>
      <c r="I444" s="171">
        <f>I445+I447+I446</f>
        <v>3023000</v>
      </c>
      <c r="J444" s="75">
        <f t="shared" si="308"/>
        <v>77408200</v>
      </c>
      <c r="K444" s="76">
        <f>K445+K447+K446</f>
        <v>0</v>
      </c>
      <c r="L444" s="171">
        <f>L445+L447+L446</f>
        <v>77408200</v>
      </c>
      <c r="M444" s="75">
        <f t="shared" si="309"/>
        <v>0</v>
      </c>
      <c r="N444" s="76">
        <f>N445+N447+N446</f>
        <v>0</v>
      </c>
      <c r="O444" s="171">
        <f>O445+O447+O446</f>
        <v>0</v>
      </c>
      <c r="P444" s="75">
        <f t="shared" si="310"/>
        <v>77408200</v>
      </c>
      <c r="Q444" s="76">
        <f>Q445+Q447+Q446</f>
        <v>0</v>
      </c>
      <c r="R444" s="171">
        <f>R445+R447+R446</f>
        <v>77408200</v>
      </c>
      <c r="S444" s="75">
        <f t="shared" si="311"/>
        <v>452000</v>
      </c>
      <c r="T444" s="76">
        <f>T445+T447+T446</f>
        <v>0</v>
      </c>
      <c r="U444" s="171">
        <f>U445+U447+U446</f>
        <v>452000</v>
      </c>
      <c r="V444" s="75">
        <f t="shared" si="312"/>
        <v>77860200</v>
      </c>
      <c r="W444" s="76">
        <f>W445+W447+W446</f>
        <v>0</v>
      </c>
      <c r="X444" s="171">
        <f>X445+X447+X446</f>
        <v>77860200</v>
      </c>
      <c r="Y444" s="75">
        <f t="shared" si="313"/>
        <v>0</v>
      </c>
      <c r="Z444" s="76">
        <f>Z445+Z447+Z446</f>
        <v>0</v>
      </c>
      <c r="AA444" s="171">
        <f>AA445+AA447+AA446</f>
        <v>0</v>
      </c>
      <c r="AB444" s="75">
        <f t="shared" si="314"/>
        <v>77860200</v>
      </c>
      <c r="AC444" s="76">
        <f>AC445+AC447+AC446</f>
        <v>0</v>
      </c>
      <c r="AD444" s="171">
        <f>AD445+AD447+AD446</f>
        <v>77860200</v>
      </c>
      <c r="AF444" s="46">
        <f t="shared" si="290"/>
        <v>0</v>
      </c>
      <c r="AG444" s="46"/>
    </row>
    <row r="445" spans="1:33" ht="12.75">
      <c r="A445" s="354"/>
      <c r="B445" s="106">
        <v>85111</v>
      </c>
      <c r="C445" s="83" t="s">
        <v>136</v>
      </c>
      <c r="D445" s="80">
        <v>74385200</v>
      </c>
      <c r="E445" s="81">
        <v>0</v>
      </c>
      <c r="F445" s="82">
        <v>74385200</v>
      </c>
      <c r="G445" s="80">
        <f t="shared" si="307"/>
        <v>3023000</v>
      </c>
      <c r="H445" s="81">
        <v>0</v>
      </c>
      <c r="I445" s="82">
        <v>3023000</v>
      </c>
      <c r="J445" s="80">
        <f t="shared" si="308"/>
        <v>77408200</v>
      </c>
      <c r="K445" s="81">
        <f>E445+H445</f>
        <v>0</v>
      </c>
      <c r="L445" s="82">
        <f>I445+F445</f>
        <v>77408200</v>
      </c>
      <c r="M445" s="80">
        <f t="shared" si="309"/>
        <v>0</v>
      </c>
      <c r="N445" s="81">
        <v>0</v>
      </c>
      <c r="O445" s="82">
        <v>0</v>
      </c>
      <c r="P445" s="80">
        <f t="shared" si="310"/>
        <v>77408200</v>
      </c>
      <c r="Q445" s="81">
        <f>K445+N445</f>
        <v>0</v>
      </c>
      <c r="R445" s="82">
        <f>O445+L445</f>
        <v>77408200</v>
      </c>
      <c r="S445" s="80">
        <f t="shared" si="311"/>
        <v>0</v>
      </c>
      <c r="T445" s="81">
        <v>0</v>
      </c>
      <c r="U445" s="82">
        <v>0</v>
      </c>
      <c r="V445" s="80">
        <f t="shared" si="312"/>
        <v>77408200</v>
      </c>
      <c r="W445" s="81">
        <f>Q445+T445</f>
        <v>0</v>
      </c>
      <c r="X445" s="82">
        <f>U445+R445</f>
        <v>77408200</v>
      </c>
      <c r="Y445" s="80">
        <f t="shared" si="313"/>
        <v>0</v>
      </c>
      <c r="Z445" s="81"/>
      <c r="AA445" s="82"/>
      <c r="AB445" s="80">
        <f t="shared" si="314"/>
        <v>77408200</v>
      </c>
      <c r="AC445" s="81">
        <f>W445+Z445</f>
        <v>0</v>
      </c>
      <c r="AD445" s="82">
        <f>AA445+X445</f>
        <v>77408200</v>
      </c>
      <c r="AF445" s="46">
        <f t="shared" si="290"/>
        <v>0</v>
      </c>
      <c r="AG445" s="46"/>
    </row>
    <row r="446" spans="1:33" ht="17.25" customHeight="1">
      <c r="A446" s="354"/>
      <c r="B446" s="106">
        <v>85117</v>
      </c>
      <c r="C446" s="189" t="s">
        <v>137</v>
      </c>
      <c r="D446" s="80">
        <v>0</v>
      </c>
      <c r="E446" s="81"/>
      <c r="F446" s="82"/>
      <c r="G446" s="80">
        <f t="shared" si="307"/>
        <v>0</v>
      </c>
      <c r="H446" s="81"/>
      <c r="I446" s="82"/>
      <c r="J446" s="80">
        <f t="shared" si="308"/>
        <v>0</v>
      </c>
      <c r="K446" s="81"/>
      <c r="L446" s="82"/>
      <c r="M446" s="80">
        <f t="shared" si="309"/>
        <v>0</v>
      </c>
      <c r="N446" s="81"/>
      <c r="O446" s="82"/>
      <c r="P446" s="80">
        <f t="shared" si="310"/>
        <v>0</v>
      </c>
      <c r="Q446" s="81">
        <v>0</v>
      </c>
      <c r="R446" s="82">
        <v>0</v>
      </c>
      <c r="S446" s="80">
        <f t="shared" si="311"/>
        <v>452000</v>
      </c>
      <c r="T446" s="81"/>
      <c r="U446" s="82">
        <v>452000</v>
      </c>
      <c r="V446" s="80">
        <f t="shared" si="312"/>
        <v>452000</v>
      </c>
      <c r="W446" s="81">
        <f>Q446+T446</f>
        <v>0</v>
      </c>
      <c r="X446" s="82">
        <f>U446+R446</f>
        <v>452000</v>
      </c>
      <c r="Y446" s="80">
        <f t="shared" si="313"/>
        <v>0</v>
      </c>
      <c r="Z446" s="81"/>
      <c r="AA446" s="82"/>
      <c r="AB446" s="80">
        <f t="shared" si="314"/>
        <v>452000</v>
      </c>
      <c r="AC446" s="81">
        <f>W446+Z446</f>
        <v>0</v>
      </c>
      <c r="AD446" s="82">
        <f>AA446+X446</f>
        <v>452000</v>
      </c>
      <c r="AF446" s="46">
        <f t="shared" si="290"/>
        <v>0</v>
      </c>
      <c r="AG446" s="46"/>
    </row>
    <row r="447" spans="1:33" ht="36" customHeight="1" hidden="1">
      <c r="A447" s="354"/>
      <c r="B447" s="106">
        <v>85156</v>
      </c>
      <c r="C447" s="189" t="s">
        <v>268</v>
      </c>
      <c r="D447" s="80">
        <v>0</v>
      </c>
      <c r="E447" s="81"/>
      <c r="F447" s="82"/>
      <c r="G447" s="80">
        <f t="shared" si="307"/>
        <v>0</v>
      </c>
      <c r="H447" s="81"/>
      <c r="I447" s="82"/>
      <c r="J447" s="80">
        <f t="shared" si="308"/>
        <v>0</v>
      </c>
      <c r="K447" s="81"/>
      <c r="L447" s="82"/>
      <c r="M447" s="80">
        <f t="shared" si="309"/>
        <v>0</v>
      </c>
      <c r="N447" s="81"/>
      <c r="O447" s="82"/>
      <c r="P447" s="80">
        <f t="shared" si="310"/>
        <v>0</v>
      </c>
      <c r="Q447" s="81"/>
      <c r="R447" s="82"/>
      <c r="S447" s="80">
        <f t="shared" si="311"/>
        <v>0</v>
      </c>
      <c r="T447" s="81"/>
      <c r="U447" s="82"/>
      <c r="V447" s="80">
        <f t="shared" si="312"/>
        <v>0</v>
      </c>
      <c r="W447" s="81"/>
      <c r="X447" s="82"/>
      <c r="Y447" s="80">
        <f t="shared" si="313"/>
        <v>0</v>
      </c>
      <c r="Z447" s="81"/>
      <c r="AA447" s="82"/>
      <c r="AB447" s="80">
        <f t="shared" si="314"/>
        <v>0</v>
      </c>
      <c r="AC447" s="81"/>
      <c r="AD447" s="82"/>
      <c r="AF447" s="46">
        <f t="shared" si="290"/>
        <v>0</v>
      </c>
      <c r="AG447" s="46"/>
    </row>
    <row r="448" spans="1:33" ht="12.75">
      <c r="A448" s="354"/>
      <c r="B448" s="101">
        <v>852</v>
      </c>
      <c r="C448" s="149" t="s">
        <v>147</v>
      </c>
      <c r="D448" s="103">
        <v>53975883</v>
      </c>
      <c r="E448" s="104">
        <v>47921883</v>
      </c>
      <c r="F448" s="171">
        <v>6054000</v>
      </c>
      <c r="G448" s="103">
        <f t="shared" si="307"/>
        <v>9608</v>
      </c>
      <c r="H448" s="104">
        <f>H449+H457+H463+H474+H479+H469+H478+H461+H468</f>
        <v>9608</v>
      </c>
      <c r="I448" s="171">
        <f>I449+I457+I463+I474+I479+I469+I478+I461+I468</f>
        <v>0</v>
      </c>
      <c r="J448" s="103">
        <f t="shared" si="308"/>
        <v>53985491</v>
      </c>
      <c r="K448" s="104">
        <f>K449+K457+K463+K474+K479+K469+K478+K461+K468</f>
        <v>47931491</v>
      </c>
      <c r="L448" s="171">
        <f>L449+L457+L463+L474+L479+L469+L478+L461+L468</f>
        <v>6054000</v>
      </c>
      <c r="M448" s="103">
        <f t="shared" si="309"/>
        <v>-124300</v>
      </c>
      <c r="N448" s="104">
        <f>N449+N457+N463+N474+N479+N469+N478+N461+N468</f>
        <v>-124300</v>
      </c>
      <c r="O448" s="171">
        <f>O449+O457+O463+O474+O479+O469+O478+O461+O468</f>
        <v>0</v>
      </c>
      <c r="P448" s="103">
        <f t="shared" si="310"/>
        <v>53861191</v>
      </c>
      <c r="Q448" s="104">
        <f>Q449+Q457+Q463+Q474+Q479+Q469+Q478+Q461+Q468</f>
        <v>47807191</v>
      </c>
      <c r="R448" s="171">
        <f>R449+R457+R463+R474+R479+R469+R478+R461+R468</f>
        <v>6054000</v>
      </c>
      <c r="S448" s="103">
        <f t="shared" si="311"/>
        <v>823786</v>
      </c>
      <c r="T448" s="104">
        <f>T449+T457+T463+T474+T479+T469+T478+T461+T468</f>
        <v>-86214</v>
      </c>
      <c r="U448" s="171">
        <f>U449+U457+U463+U474+U479+U469+U478+U461+U468</f>
        <v>910000</v>
      </c>
      <c r="V448" s="103">
        <f t="shared" si="312"/>
        <v>54684977</v>
      </c>
      <c r="W448" s="104">
        <f>W449+W457+W463+W474+W479+W469+W478+W461+W468</f>
        <v>47720977</v>
      </c>
      <c r="X448" s="171">
        <f>X449+X457+X463+X474+X479+X469+X478+X461+X468</f>
        <v>6964000</v>
      </c>
      <c r="Y448" s="103">
        <f t="shared" si="313"/>
        <v>268098</v>
      </c>
      <c r="Z448" s="104">
        <f>Z449+Z457+Z463+Z474+Z479+Z469+Z478+Z461+Z468</f>
        <v>-74600</v>
      </c>
      <c r="AA448" s="171">
        <f>AA449+AA457+AA463+AA474+AA479+AA469+AA478+AA461+AA468</f>
        <v>342698</v>
      </c>
      <c r="AB448" s="103">
        <f t="shared" si="314"/>
        <v>54953075</v>
      </c>
      <c r="AC448" s="104">
        <f>AC449+AC457+AC463+AC474+AC479+AC469+AC478+AC461+AC468</f>
        <v>47646377</v>
      </c>
      <c r="AD448" s="171">
        <f>AD449+AD457+AD463+AD474+AD479+AD469+AD478+AD461+AD468</f>
        <v>7306698</v>
      </c>
      <c r="AF448" s="46">
        <f t="shared" si="290"/>
        <v>0</v>
      </c>
      <c r="AG448" s="46"/>
    </row>
    <row r="449" spans="1:33" ht="12.75">
      <c r="A449" s="354"/>
      <c r="B449" s="106">
        <v>85201</v>
      </c>
      <c r="C449" s="83" t="s">
        <v>269</v>
      </c>
      <c r="D449" s="80">
        <v>14749057</v>
      </c>
      <c r="E449" s="81">
        <v>14559057</v>
      </c>
      <c r="F449" s="81">
        <v>190000</v>
      </c>
      <c r="G449" s="80">
        <f t="shared" si="307"/>
        <v>0</v>
      </c>
      <c r="H449" s="81">
        <f>H450+H452+H453+H454+H455+H456</f>
        <v>0</v>
      </c>
      <c r="I449" s="81">
        <f>I450+I452+I453+I454+I455+I456</f>
        <v>0</v>
      </c>
      <c r="J449" s="80">
        <f t="shared" si="308"/>
        <v>14749057</v>
      </c>
      <c r="K449" s="81">
        <f aca="true" t="shared" si="315" ref="K449:K483">E449+H449</f>
        <v>14559057</v>
      </c>
      <c r="L449" s="81">
        <f aca="true" t="shared" si="316" ref="L449:L483">I449+F449</f>
        <v>190000</v>
      </c>
      <c r="M449" s="80">
        <f t="shared" si="309"/>
        <v>0</v>
      </c>
      <c r="N449" s="81">
        <f>N450+N452+N453+N454+N455+N456</f>
        <v>0</v>
      </c>
      <c r="O449" s="81">
        <f>O450+O452+O453+O454+O455+O456</f>
        <v>0</v>
      </c>
      <c r="P449" s="80">
        <f t="shared" si="310"/>
        <v>14749057</v>
      </c>
      <c r="Q449" s="81">
        <f aca="true" t="shared" si="317" ref="Q449:Q483">K449+N449</f>
        <v>14559057</v>
      </c>
      <c r="R449" s="81">
        <f aca="true" t="shared" si="318" ref="R449:R483">O449+L449</f>
        <v>190000</v>
      </c>
      <c r="S449" s="80">
        <f t="shared" si="311"/>
        <v>80475</v>
      </c>
      <c r="T449" s="81">
        <f>T450+T452+T453+T454+T455+T456+250+2</f>
        <v>30475</v>
      </c>
      <c r="U449" s="81">
        <f>U450+U452+U453+U454+U455+U456</f>
        <v>50000</v>
      </c>
      <c r="V449" s="80">
        <f t="shared" si="312"/>
        <v>14829532</v>
      </c>
      <c r="W449" s="81">
        <f aca="true" t="shared" si="319" ref="W449:W483">Q449+T449</f>
        <v>14589532</v>
      </c>
      <c r="X449" s="81">
        <f aca="true" t="shared" si="320" ref="X449:X483">U449+R449</f>
        <v>240000</v>
      </c>
      <c r="Y449" s="80">
        <f t="shared" si="313"/>
        <v>285198</v>
      </c>
      <c r="Z449" s="81">
        <f>Z450+Z452+Z453+Z454+Z455+Z456</f>
        <v>-57500</v>
      </c>
      <c r="AA449" s="81">
        <f>AA450+AA452+AA453+AA454+AA455+AA456</f>
        <v>342698</v>
      </c>
      <c r="AB449" s="80">
        <f t="shared" si="314"/>
        <v>15114730</v>
      </c>
      <c r="AC449" s="81">
        <f aca="true" t="shared" si="321" ref="AC449:AC465">W449+Z449</f>
        <v>14532032</v>
      </c>
      <c r="AD449" s="81">
        <f aca="true" t="shared" si="322" ref="AD449:AD465">AA449+X449</f>
        <v>582698</v>
      </c>
      <c r="AF449" s="46">
        <f t="shared" si="290"/>
        <v>0</v>
      </c>
      <c r="AG449" s="46"/>
    </row>
    <row r="450" spans="1:33" ht="12.75">
      <c r="A450" s="354"/>
      <c r="B450" s="108"/>
      <c r="C450" s="90" t="s">
        <v>269</v>
      </c>
      <c r="D450" s="91">
        <v>9091857</v>
      </c>
      <c r="E450" s="92">
        <v>8901857</v>
      </c>
      <c r="F450" s="186">
        <v>190000</v>
      </c>
      <c r="G450" s="91">
        <f t="shared" si="307"/>
        <v>0</v>
      </c>
      <c r="H450" s="92"/>
      <c r="I450" s="186">
        <v>0</v>
      </c>
      <c r="J450" s="91">
        <f t="shared" si="308"/>
        <v>9091857</v>
      </c>
      <c r="K450" s="92">
        <f t="shared" si="315"/>
        <v>8901857</v>
      </c>
      <c r="L450" s="186">
        <f t="shared" si="316"/>
        <v>190000</v>
      </c>
      <c r="M450" s="91">
        <f t="shared" si="309"/>
        <v>0</v>
      </c>
      <c r="N450" s="92"/>
      <c r="O450" s="186">
        <v>0</v>
      </c>
      <c r="P450" s="91">
        <f t="shared" si="310"/>
        <v>9091857</v>
      </c>
      <c r="Q450" s="92">
        <f t="shared" si="317"/>
        <v>8901857</v>
      </c>
      <c r="R450" s="186">
        <f t="shared" si="318"/>
        <v>190000</v>
      </c>
      <c r="S450" s="91">
        <f t="shared" si="311"/>
        <v>-283595</v>
      </c>
      <c r="T450" s="422">
        <f>25223+5000-363818</f>
        <v>-333595</v>
      </c>
      <c r="U450" s="186">
        <v>50000</v>
      </c>
      <c r="V450" s="91">
        <f t="shared" si="312"/>
        <v>8808262</v>
      </c>
      <c r="W450" s="92">
        <f t="shared" si="319"/>
        <v>8568262</v>
      </c>
      <c r="X450" s="186">
        <f t="shared" si="320"/>
        <v>240000</v>
      </c>
      <c r="Y450" s="91">
        <f t="shared" si="313"/>
        <v>385198</v>
      </c>
      <c r="Z450" s="422">
        <f>12000+10000+20500</f>
        <v>42500</v>
      </c>
      <c r="AA450" s="186">
        <v>342698</v>
      </c>
      <c r="AB450" s="91">
        <f t="shared" si="314"/>
        <v>9193460</v>
      </c>
      <c r="AC450" s="92">
        <f t="shared" si="321"/>
        <v>8610762</v>
      </c>
      <c r="AD450" s="186">
        <f t="shared" si="322"/>
        <v>582698</v>
      </c>
      <c r="AF450" s="46">
        <f t="shared" si="290"/>
        <v>0</v>
      </c>
      <c r="AG450" s="46"/>
    </row>
    <row r="451" spans="1:33" s="147" customFormat="1" ht="12.75">
      <c r="A451" s="375"/>
      <c r="B451" s="109"/>
      <c r="C451" s="110" t="s">
        <v>39</v>
      </c>
      <c r="D451" s="252">
        <v>1300000</v>
      </c>
      <c r="E451" s="124">
        <v>1300000</v>
      </c>
      <c r="F451" s="125">
        <v>0</v>
      </c>
      <c r="G451" s="252">
        <f t="shared" si="307"/>
        <v>0</v>
      </c>
      <c r="H451" s="124"/>
      <c r="I451" s="125">
        <v>0</v>
      </c>
      <c r="J451" s="252">
        <f t="shared" si="308"/>
        <v>1300000</v>
      </c>
      <c r="K451" s="124">
        <f t="shared" si="315"/>
        <v>1300000</v>
      </c>
      <c r="L451" s="125">
        <f t="shared" si="316"/>
        <v>0</v>
      </c>
      <c r="M451" s="252">
        <f t="shared" si="309"/>
        <v>0</v>
      </c>
      <c r="N451" s="124"/>
      <c r="O451" s="125">
        <v>0</v>
      </c>
      <c r="P451" s="252">
        <f t="shared" si="310"/>
        <v>1300000</v>
      </c>
      <c r="Q451" s="124">
        <f t="shared" si="317"/>
        <v>1300000</v>
      </c>
      <c r="R451" s="125">
        <f t="shared" si="318"/>
        <v>0</v>
      </c>
      <c r="S451" s="252">
        <f t="shared" si="311"/>
        <v>0</v>
      </c>
      <c r="T451" s="124"/>
      <c r="U451" s="125">
        <v>0</v>
      </c>
      <c r="V451" s="252">
        <f t="shared" si="312"/>
        <v>1300000</v>
      </c>
      <c r="W451" s="124">
        <f t="shared" si="319"/>
        <v>1300000</v>
      </c>
      <c r="X451" s="125">
        <f t="shared" si="320"/>
        <v>0</v>
      </c>
      <c r="Y451" s="252">
        <f t="shared" si="313"/>
        <v>0</v>
      </c>
      <c r="Z451" s="124"/>
      <c r="AA451" s="125"/>
      <c r="AB451" s="252">
        <f t="shared" si="314"/>
        <v>1300000</v>
      </c>
      <c r="AC451" s="124">
        <f t="shared" si="321"/>
        <v>1300000</v>
      </c>
      <c r="AD451" s="125">
        <f t="shared" si="322"/>
        <v>0</v>
      </c>
      <c r="AF451" s="46">
        <f t="shared" si="290"/>
        <v>0</v>
      </c>
      <c r="AG451" s="46"/>
    </row>
    <row r="452" spans="1:33" s="9" customFormat="1" ht="12.75">
      <c r="A452" s="376"/>
      <c r="B452" s="108"/>
      <c r="C452" s="90" t="s">
        <v>151</v>
      </c>
      <c r="D452" s="91">
        <v>1003200</v>
      </c>
      <c r="E452" s="92">
        <v>1003200</v>
      </c>
      <c r="F452" s="186">
        <v>0</v>
      </c>
      <c r="G452" s="91">
        <f t="shared" si="307"/>
        <v>0</v>
      </c>
      <c r="H452" s="92"/>
      <c r="I452" s="186">
        <v>0</v>
      </c>
      <c r="J452" s="91">
        <f t="shared" si="308"/>
        <v>1003200</v>
      </c>
      <c r="K452" s="92">
        <f t="shared" si="315"/>
        <v>1003200</v>
      </c>
      <c r="L452" s="186">
        <f t="shared" si="316"/>
        <v>0</v>
      </c>
      <c r="M452" s="91">
        <f t="shared" si="309"/>
        <v>0</v>
      </c>
      <c r="N452" s="92"/>
      <c r="O452" s="186">
        <v>0</v>
      </c>
      <c r="P452" s="91">
        <f t="shared" si="310"/>
        <v>1003200</v>
      </c>
      <c r="Q452" s="92">
        <f t="shared" si="317"/>
        <v>1003200</v>
      </c>
      <c r="R452" s="186">
        <f t="shared" si="318"/>
        <v>0</v>
      </c>
      <c r="S452" s="91">
        <f t="shared" si="311"/>
        <v>363818</v>
      </c>
      <c r="T452" s="422">
        <v>363818</v>
      </c>
      <c r="U452" s="186">
        <v>0</v>
      </c>
      <c r="V452" s="91">
        <f t="shared" si="312"/>
        <v>1367018</v>
      </c>
      <c r="W452" s="92">
        <f t="shared" si="319"/>
        <v>1367018</v>
      </c>
      <c r="X452" s="186">
        <f t="shared" si="320"/>
        <v>0</v>
      </c>
      <c r="Y452" s="91">
        <f t="shared" si="313"/>
        <v>0</v>
      </c>
      <c r="Z452" s="422"/>
      <c r="AA452" s="186"/>
      <c r="AB452" s="91">
        <f t="shared" si="314"/>
        <v>1367018</v>
      </c>
      <c r="AC452" s="92">
        <f t="shared" si="321"/>
        <v>1367018</v>
      </c>
      <c r="AD452" s="186">
        <f t="shared" si="322"/>
        <v>0</v>
      </c>
      <c r="AF452" s="46">
        <f t="shared" si="290"/>
        <v>0</v>
      </c>
      <c r="AG452" s="46"/>
    </row>
    <row r="453" spans="1:33" ht="12.75">
      <c r="A453" s="354"/>
      <c r="B453" s="108"/>
      <c r="C453" s="90" t="s">
        <v>270</v>
      </c>
      <c r="D453" s="91">
        <v>603700</v>
      </c>
      <c r="E453" s="92">
        <v>603700</v>
      </c>
      <c r="F453" s="186">
        <v>0</v>
      </c>
      <c r="G453" s="91">
        <f t="shared" si="307"/>
        <v>0</v>
      </c>
      <c r="H453" s="92"/>
      <c r="I453" s="186">
        <v>0</v>
      </c>
      <c r="J453" s="91">
        <f t="shared" si="308"/>
        <v>603700</v>
      </c>
      <c r="K453" s="92">
        <f t="shared" si="315"/>
        <v>603700</v>
      </c>
      <c r="L453" s="186">
        <f t="shared" si="316"/>
        <v>0</v>
      </c>
      <c r="M453" s="91">
        <f t="shared" si="309"/>
        <v>0</v>
      </c>
      <c r="N453" s="92"/>
      <c r="O453" s="186">
        <v>0</v>
      </c>
      <c r="P453" s="91">
        <f t="shared" si="310"/>
        <v>603700</v>
      </c>
      <c r="Q453" s="92">
        <f t="shared" si="317"/>
        <v>603700</v>
      </c>
      <c r="R453" s="186">
        <f t="shared" si="318"/>
        <v>0</v>
      </c>
      <c r="S453" s="91">
        <f t="shared" si="311"/>
        <v>0</v>
      </c>
      <c r="T453" s="92"/>
      <c r="U453" s="186">
        <v>0</v>
      </c>
      <c r="V453" s="91">
        <f t="shared" si="312"/>
        <v>603700</v>
      </c>
      <c r="W453" s="92">
        <f t="shared" si="319"/>
        <v>603700</v>
      </c>
      <c r="X453" s="186">
        <f t="shared" si="320"/>
        <v>0</v>
      </c>
      <c r="Y453" s="91">
        <f t="shared" si="313"/>
        <v>-100000</v>
      </c>
      <c r="Z453" s="92">
        <f>-100000</f>
        <v>-100000</v>
      </c>
      <c r="AA453" s="186"/>
      <c r="AB453" s="91">
        <f t="shared" si="314"/>
        <v>503700</v>
      </c>
      <c r="AC453" s="92">
        <f t="shared" si="321"/>
        <v>503700</v>
      </c>
      <c r="AD453" s="186">
        <f t="shared" si="322"/>
        <v>0</v>
      </c>
      <c r="AF453" s="46">
        <f t="shared" si="290"/>
        <v>0</v>
      </c>
      <c r="AG453" s="46"/>
    </row>
    <row r="454" spans="1:33" ht="12.75" hidden="1">
      <c r="A454" s="354"/>
      <c r="B454" s="108"/>
      <c r="C454" s="90" t="s">
        <v>271</v>
      </c>
      <c r="D454" s="91">
        <v>0</v>
      </c>
      <c r="E454" s="92">
        <v>0</v>
      </c>
      <c r="F454" s="186">
        <v>0</v>
      </c>
      <c r="G454" s="91">
        <f t="shared" si="307"/>
        <v>0</v>
      </c>
      <c r="H454" s="92"/>
      <c r="I454" s="186">
        <v>0</v>
      </c>
      <c r="J454" s="91">
        <f t="shared" si="308"/>
        <v>0</v>
      </c>
      <c r="K454" s="92">
        <f t="shared" si="315"/>
        <v>0</v>
      </c>
      <c r="L454" s="186">
        <f t="shared" si="316"/>
        <v>0</v>
      </c>
      <c r="M454" s="91">
        <f t="shared" si="309"/>
        <v>0</v>
      </c>
      <c r="N454" s="92"/>
      <c r="O454" s="186">
        <v>0</v>
      </c>
      <c r="P454" s="91">
        <f t="shared" si="310"/>
        <v>0</v>
      </c>
      <c r="Q454" s="92">
        <f t="shared" si="317"/>
        <v>0</v>
      </c>
      <c r="R454" s="186">
        <f t="shared" si="318"/>
        <v>0</v>
      </c>
      <c r="S454" s="91">
        <f t="shared" si="311"/>
        <v>0</v>
      </c>
      <c r="T454" s="92"/>
      <c r="U454" s="186">
        <v>0</v>
      </c>
      <c r="V454" s="91">
        <f t="shared" si="312"/>
        <v>0</v>
      </c>
      <c r="W454" s="92">
        <f t="shared" si="319"/>
        <v>0</v>
      </c>
      <c r="X454" s="186">
        <f t="shared" si="320"/>
        <v>0</v>
      </c>
      <c r="Y454" s="91">
        <f t="shared" si="313"/>
        <v>0</v>
      </c>
      <c r="Z454" s="92"/>
      <c r="AA454" s="186">
        <v>0</v>
      </c>
      <c r="AB454" s="91">
        <f t="shared" si="314"/>
        <v>0</v>
      </c>
      <c r="AC454" s="92">
        <f t="shared" si="321"/>
        <v>0</v>
      </c>
      <c r="AD454" s="186">
        <f t="shared" si="322"/>
        <v>0</v>
      </c>
      <c r="AF454" s="46">
        <f t="shared" si="290"/>
        <v>0</v>
      </c>
      <c r="AG454" s="46"/>
    </row>
    <row r="455" spans="1:33" ht="12.75">
      <c r="A455" s="354"/>
      <c r="B455" s="108"/>
      <c r="C455" s="90" t="s">
        <v>272</v>
      </c>
      <c r="D455" s="91">
        <v>4040000</v>
      </c>
      <c r="E455" s="92">
        <v>4040000</v>
      </c>
      <c r="F455" s="186">
        <v>0</v>
      </c>
      <c r="G455" s="91">
        <f t="shared" si="307"/>
        <v>0</v>
      </c>
      <c r="H455" s="92"/>
      <c r="I455" s="186">
        <v>0</v>
      </c>
      <c r="J455" s="91">
        <f t="shared" si="308"/>
        <v>4040000</v>
      </c>
      <c r="K455" s="92">
        <f t="shared" si="315"/>
        <v>4040000</v>
      </c>
      <c r="L455" s="186">
        <f t="shared" si="316"/>
        <v>0</v>
      </c>
      <c r="M455" s="91">
        <f t="shared" si="309"/>
        <v>0</v>
      </c>
      <c r="N455" s="92"/>
      <c r="O455" s="186">
        <v>0</v>
      </c>
      <c r="P455" s="91">
        <f t="shared" si="310"/>
        <v>4040000</v>
      </c>
      <c r="Q455" s="92">
        <f t="shared" si="317"/>
        <v>4040000</v>
      </c>
      <c r="R455" s="186">
        <f t="shared" si="318"/>
        <v>0</v>
      </c>
      <c r="S455" s="91">
        <f t="shared" si="311"/>
        <v>0</v>
      </c>
      <c r="T455" s="92"/>
      <c r="U455" s="186">
        <v>0</v>
      </c>
      <c r="V455" s="91">
        <f t="shared" si="312"/>
        <v>4040000</v>
      </c>
      <c r="W455" s="92">
        <f t="shared" si="319"/>
        <v>4040000</v>
      </c>
      <c r="X455" s="186">
        <f t="shared" si="320"/>
        <v>0</v>
      </c>
      <c r="Y455" s="91">
        <f t="shared" si="313"/>
        <v>0</v>
      </c>
      <c r="Z455" s="92"/>
      <c r="AA455" s="186"/>
      <c r="AB455" s="91">
        <f t="shared" si="314"/>
        <v>4040000</v>
      </c>
      <c r="AC455" s="92">
        <f t="shared" si="321"/>
        <v>4040000</v>
      </c>
      <c r="AD455" s="186">
        <f t="shared" si="322"/>
        <v>0</v>
      </c>
      <c r="AF455" s="46">
        <f t="shared" si="290"/>
        <v>0</v>
      </c>
      <c r="AG455" s="46"/>
    </row>
    <row r="456" spans="1:33" ht="9.75" customHeight="1">
      <c r="A456" s="354"/>
      <c r="B456" s="140"/>
      <c r="C456" s="129" t="s">
        <v>209</v>
      </c>
      <c r="D456" s="112">
        <v>10300</v>
      </c>
      <c r="E456" s="113">
        <v>10300</v>
      </c>
      <c r="F456" s="128">
        <v>0</v>
      </c>
      <c r="G456" s="112">
        <f t="shared" si="307"/>
        <v>0</v>
      </c>
      <c r="H456" s="113"/>
      <c r="I456" s="128">
        <v>0</v>
      </c>
      <c r="J456" s="112">
        <f t="shared" si="308"/>
        <v>10300</v>
      </c>
      <c r="K456" s="113">
        <f t="shared" si="315"/>
        <v>10300</v>
      </c>
      <c r="L456" s="128">
        <f t="shared" si="316"/>
        <v>0</v>
      </c>
      <c r="M456" s="112">
        <f t="shared" si="309"/>
        <v>0</v>
      </c>
      <c r="N456" s="113"/>
      <c r="O456" s="128">
        <v>0</v>
      </c>
      <c r="P456" s="112">
        <f t="shared" si="310"/>
        <v>10300</v>
      </c>
      <c r="Q456" s="113">
        <f t="shared" si="317"/>
        <v>10300</v>
      </c>
      <c r="R456" s="128">
        <f t="shared" si="318"/>
        <v>0</v>
      </c>
      <c r="S456" s="112">
        <f t="shared" si="311"/>
        <v>0</v>
      </c>
      <c r="T456" s="113"/>
      <c r="U456" s="128">
        <v>0</v>
      </c>
      <c r="V456" s="112">
        <f t="shared" si="312"/>
        <v>10300</v>
      </c>
      <c r="W456" s="113">
        <f t="shared" si="319"/>
        <v>10300</v>
      </c>
      <c r="X456" s="128">
        <f t="shared" si="320"/>
        <v>0</v>
      </c>
      <c r="Y456" s="112">
        <f t="shared" si="313"/>
        <v>0</v>
      </c>
      <c r="Z456" s="113"/>
      <c r="AA456" s="128"/>
      <c r="AB456" s="112">
        <f t="shared" si="314"/>
        <v>10300</v>
      </c>
      <c r="AC456" s="113">
        <f t="shared" si="321"/>
        <v>10300</v>
      </c>
      <c r="AD456" s="128">
        <f t="shared" si="322"/>
        <v>0</v>
      </c>
      <c r="AF456" s="46">
        <f t="shared" si="290"/>
        <v>0</v>
      </c>
      <c r="AG456" s="46"/>
    </row>
    <row r="457" spans="1:33" ht="12.75">
      <c r="A457" s="354"/>
      <c r="B457" s="140">
        <v>85202</v>
      </c>
      <c r="C457" s="129" t="s">
        <v>148</v>
      </c>
      <c r="D457" s="112">
        <v>28071417</v>
      </c>
      <c r="E457" s="113">
        <v>22407417</v>
      </c>
      <c r="F457" s="114">
        <v>5664000</v>
      </c>
      <c r="G457" s="112">
        <f t="shared" si="307"/>
        <v>0</v>
      </c>
      <c r="H457" s="113">
        <f>SUM(H458:H459)</f>
        <v>0</v>
      </c>
      <c r="I457" s="114">
        <f>SUM(I458:I459)</f>
        <v>0</v>
      </c>
      <c r="J457" s="112">
        <f t="shared" si="308"/>
        <v>28071417</v>
      </c>
      <c r="K457" s="113">
        <f t="shared" si="315"/>
        <v>22407417</v>
      </c>
      <c r="L457" s="114">
        <f t="shared" si="316"/>
        <v>5664000</v>
      </c>
      <c r="M457" s="112">
        <f t="shared" si="309"/>
        <v>-124300</v>
      </c>
      <c r="N457" s="113">
        <f>SUM(N458:N459)</f>
        <v>-124300</v>
      </c>
      <c r="O457" s="114">
        <f>SUM(O458:O459)</f>
        <v>0</v>
      </c>
      <c r="P457" s="112">
        <f t="shared" si="310"/>
        <v>27947117</v>
      </c>
      <c r="Q457" s="113">
        <f t="shared" si="317"/>
        <v>22283117</v>
      </c>
      <c r="R457" s="114">
        <f t="shared" si="318"/>
        <v>5664000</v>
      </c>
      <c r="S457" s="112">
        <f t="shared" si="311"/>
        <v>445300</v>
      </c>
      <c r="T457" s="113">
        <f>SUM(T458:T459)</f>
        <v>-414700</v>
      </c>
      <c r="U457" s="114">
        <f>SUM(U458:U459)</f>
        <v>860000</v>
      </c>
      <c r="V457" s="112">
        <f t="shared" si="312"/>
        <v>28392417</v>
      </c>
      <c r="W457" s="113">
        <f t="shared" si="319"/>
        <v>21868417</v>
      </c>
      <c r="X457" s="114">
        <f t="shared" si="320"/>
        <v>6524000</v>
      </c>
      <c r="Y457" s="112">
        <f t="shared" si="313"/>
        <v>1500</v>
      </c>
      <c r="Z457" s="113">
        <f>SUM(Z458:Z459)</f>
        <v>1500</v>
      </c>
      <c r="AA457" s="114">
        <f>SUM(AA458:AA459)</f>
        <v>0</v>
      </c>
      <c r="AB457" s="112">
        <f t="shared" si="314"/>
        <v>28393917</v>
      </c>
      <c r="AC457" s="113">
        <f t="shared" si="321"/>
        <v>21869917</v>
      </c>
      <c r="AD457" s="114">
        <f t="shared" si="322"/>
        <v>6524000</v>
      </c>
      <c r="AF457" s="46">
        <f t="shared" si="290"/>
        <v>0</v>
      </c>
      <c r="AG457" s="46"/>
    </row>
    <row r="458" spans="1:33" ht="12.75">
      <c r="A458" s="354"/>
      <c r="B458" s="130"/>
      <c r="C458" s="85" t="s">
        <v>148</v>
      </c>
      <c r="D458" s="88">
        <v>23381992</v>
      </c>
      <c r="E458" s="86">
        <v>17717992</v>
      </c>
      <c r="F458" s="161">
        <v>5664000</v>
      </c>
      <c r="G458" s="88">
        <f t="shared" si="307"/>
        <v>0</v>
      </c>
      <c r="H458" s="86"/>
      <c r="I458" s="161">
        <v>0</v>
      </c>
      <c r="J458" s="88">
        <f t="shared" si="308"/>
        <v>23381992</v>
      </c>
      <c r="K458" s="86">
        <f t="shared" si="315"/>
        <v>17717992</v>
      </c>
      <c r="L458" s="161">
        <f t="shared" si="316"/>
        <v>5664000</v>
      </c>
      <c r="M458" s="88">
        <f t="shared" si="309"/>
        <v>-124300</v>
      </c>
      <c r="N458" s="86">
        <v>-124300</v>
      </c>
      <c r="O458" s="161">
        <v>0</v>
      </c>
      <c r="P458" s="88">
        <f t="shared" si="310"/>
        <v>23257692</v>
      </c>
      <c r="Q458" s="86">
        <f t="shared" si="317"/>
        <v>17593692</v>
      </c>
      <c r="R458" s="161">
        <f t="shared" si="318"/>
        <v>5664000</v>
      </c>
      <c r="S458" s="88">
        <f t="shared" si="311"/>
        <v>32300</v>
      </c>
      <c r="T458" s="86">
        <f>124300-952000</f>
        <v>-827700</v>
      </c>
      <c r="U458" s="161">
        <v>860000</v>
      </c>
      <c r="V458" s="88">
        <f t="shared" si="312"/>
        <v>23289992</v>
      </c>
      <c r="W458" s="86">
        <f t="shared" si="319"/>
        <v>16765992</v>
      </c>
      <c r="X458" s="161">
        <f t="shared" si="320"/>
        <v>6524000</v>
      </c>
      <c r="Y458" s="88">
        <f t="shared" si="313"/>
        <v>1500</v>
      </c>
      <c r="Z458" s="86">
        <v>1500</v>
      </c>
      <c r="AA458" s="161"/>
      <c r="AB458" s="88">
        <f t="shared" si="314"/>
        <v>23291492</v>
      </c>
      <c r="AC458" s="86">
        <f t="shared" si="321"/>
        <v>16767492</v>
      </c>
      <c r="AD458" s="161">
        <f t="shared" si="322"/>
        <v>6524000</v>
      </c>
      <c r="AF458" s="46">
        <f t="shared" si="290"/>
        <v>0</v>
      </c>
      <c r="AG458" s="46"/>
    </row>
    <row r="459" spans="1:33" ht="12.75">
      <c r="A459" s="354"/>
      <c r="B459" s="140"/>
      <c r="C459" s="129" t="s">
        <v>151</v>
      </c>
      <c r="D459" s="112">
        <v>4689425</v>
      </c>
      <c r="E459" s="113">
        <v>4689425</v>
      </c>
      <c r="F459" s="128">
        <v>0</v>
      </c>
      <c r="G459" s="112">
        <f t="shared" si="307"/>
        <v>0</v>
      </c>
      <c r="H459" s="113"/>
      <c r="I459" s="128">
        <v>0</v>
      </c>
      <c r="J459" s="112">
        <f t="shared" si="308"/>
        <v>4689425</v>
      </c>
      <c r="K459" s="113">
        <f t="shared" si="315"/>
        <v>4689425</v>
      </c>
      <c r="L459" s="128">
        <f t="shared" si="316"/>
        <v>0</v>
      </c>
      <c r="M459" s="112">
        <f t="shared" si="309"/>
        <v>0</v>
      </c>
      <c r="N459" s="113"/>
      <c r="O459" s="128">
        <v>0</v>
      </c>
      <c r="P459" s="112">
        <f t="shared" si="310"/>
        <v>4689425</v>
      </c>
      <c r="Q459" s="113">
        <f t="shared" si="317"/>
        <v>4689425</v>
      </c>
      <c r="R459" s="128">
        <f t="shared" si="318"/>
        <v>0</v>
      </c>
      <c r="S459" s="112">
        <f t="shared" si="311"/>
        <v>413000</v>
      </c>
      <c r="T459" s="113">
        <v>413000</v>
      </c>
      <c r="U459" s="128">
        <v>0</v>
      </c>
      <c r="V459" s="112">
        <f t="shared" si="312"/>
        <v>5102425</v>
      </c>
      <c r="W459" s="113">
        <f t="shared" si="319"/>
        <v>5102425</v>
      </c>
      <c r="X459" s="128">
        <f t="shared" si="320"/>
        <v>0</v>
      </c>
      <c r="Y459" s="112">
        <f t="shared" si="313"/>
        <v>0</v>
      </c>
      <c r="Z459" s="113"/>
      <c r="AA459" s="128"/>
      <c r="AB459" s="112">
        <f t="shared" si="314"/>
        <v>5102425</v>
      </c>
      <c r="AC459" s="113">
        <f t="shared" si="321"/>
        <v>5102425</v>
      </c>
      <c r="AD459" s="128">
        <f t="shared" si="322"/>
        <v>0</v>
      </c>
      <c r="AF459" s="46">
        <f t="shared" si="290"/>
        <v>0</v>
      </c>
      <c r="AG459" s="46"/>
    </row>
    <row r="460" spans="1:33" ht="12.75" hidden="1">
      <c r="A460" s="354"/>
      <c r="B460" s="140"/>
      <c r="C460" s="129" t="s">
        <v>150</v>
      </c>
      <c r="D460" s="112">
        <v>0</v>
      </c>
      <c r="E460" s="113">
        <v>0</v>
      </c>
      <c r="F460" s="128">
        <v>0</v>
      </c>
      <c r="G460" s="112">
        <f t="shared" si="307"/>
        <v>0</v>
      </c>
      <c r="H460" s="113"/>
      <c r="I460" s="128"/>
      <c r="J460" s="112">
        <f t="shared" si="308"/>
        <v>0</v>
      </c>
      <c r="K460" s="113">
        <f t="shared" si="315"/>
        <v>0</v>
      </c>
      <c r="L460" s="128">
        <f t="shared" si="316"/>
        <v>0</v>
      </c>
      <c r="M460" s="112">
        <f t="shared" si="309"/>
        <v>0</v>
      </c>
      <c r="N460" s="113"/>
      <c r="O460" s="128"/>
      <c r="P460" s="112">
        <f t="shared" si="310"/>
        <v>0</v>
      </c>
      <c r="Q460" s="113">
        <f t="shared" si="317"/>
        <v>0</v>
      </c>
      <c r="R460" s="128">
        <f t="shared" si="318"/>
        <v>0</v>
      </c>
      <c r="S460" s="112">
        <f t="shared" si="311"/>
        <v>0</v>
      </c>
      <c r="T460" s="113"/>
      <c r="U460" s="128"/>
      <c r="V460" s="112">
        <f t="shared" si="312"/>
        <v>0</v>
      </c>
      <c r="W460" s="113">
        <f t="shared" si="319"/>
        <v>0</v>
      </c>
      <c r="X460" s="128">
        <f t="shared" si="320"/>
        <v>0</v>
      </c>
      <c r="Y460" s="112">
        <f t="shared" si="313"/>
        <v>0</v>
      </c>
      <c r="Z460" s="113"/>
      <c r="AA460" s="128"/>
      <c r="AB460" s="112">
        <f t="shared" si="314"/>
        <v>0</v>
      </c>
      <c r="AC460" s="113">
        <f t="shared" si="321"/>
        <v>0</v>
      </c>
      <c r="AD460" s="128">
        <f t="shared" si="322"/>
        <v>0</v>
      </c>
      <c r="AF460" s="46">
        <f t="shared" si="290"/>
        <v>0</v>
      </c>
      <c r="AG460" s="46"/>
    </row>
    <row r="461" spans="1:33" ht="12.75" customHeight="1">
      <c r="A461" s="354"/>
      <c r="B461" s="140">
        <v>85203</v>
      </c>
      <c r="C461" s="129" t="s">
        <v>149</v>
      </c>
      <c r="D461" s="112">
        <v>0</v>
      </c>
      <c r="E461" s="113">
        <v>0</v>
      </c>
      <c r="F461" s="128">
        <v>0</v>
      </c>
      <c r="G461" s="112">
        <f t="shared" si="307"/>
        <v>725</v>
      </c>
      <c r="H461" s="113">
        <v>725</v>
      </c>
      <c r="I461" s="128"/>
      <c r="J461" s="112">
        <f t="shared" si="308"/>
        <v>725</v>
      </c>
      <c r="K461" s="113">
        <f t="shared" si="315"/>
        <v>725</v>
      </c>
      <c r="L461" s="128">
        <f t="shared" si="316"/>
        <v>0</v>
      </c>
      <c r="M461" s="112">
        <f t="shared" si="309"/>
        <v>0</v>
      </c>
      <c r="N461" s="113">
        <v>0</v>
      </c>
      <c r="O461" s="128"/>
      <c r="P461" s="112">
        <f t="shared" si="310"/>
        <v>725</v>
      </c>
      <c r="Q461" s="113">
        <f t="shared" si="317"/>
        <v>725</v>
      </c>
      <c r="R461" s="128">
        <f t="shared" si="318"/>
        <v>0</v>
      </c>
      <c r="S461" s="112">
        <f t="shared" si="311"/>
        <v>63763</v>
      </c>
      <c r="T461" s="113">
        <v>63763</v>
      </c>
      <c r="U461" s="128"/>
      <c r="V461" s="112">
        <f t="shared" si="312"/>
        <v>64488</v>
      </c>
      <c r="W461" s="113">
        <f t="shared" si="319"/>
        <v>64488</v>
      </c>
      <c r="X461" s="128">
        <f t="shared" si="320"/>
        <v>0</v>
      </c>
      <c r="Y461" s="112">
        <f t="shared" si="313"/>
        <v>0</v>
      </c>
      <c r="Z461" s="113"/>
      <c r="AA461" s="128"/>
      <c r="AB461" s="112">
        <f t="shared" si="314"/>
        <v>64488</v>
      </c>
      <c r="AC461" s="113">
        <f t="shared" si="321"/>
        <v>64488</v>
      </c>
      <c r="AD461" s="128">
        <f t="shared" si="322"/>
        <v>0</v>
      </c>
      <c r="AF461" s="46">
        <f t="shared" si="290"/>
        <v>0</v>
      </c>
      <c r="AG461" s="46"/>
    </row>
    <row r="462" spans="1:33" ht="12.75" customHeight="1" hidden="1">
      <c r="A462" s="354"/>
      <c r="B462" s="140"/>
      <c r="C462" s="129" t="s">
        <v>273</v>
      </c>
      <c r="D462" s="80">
        <v>0</v>
      </c>
      <c r="E462" s="81">
        <v>0</v>
      </c>
      <c r="F462" s="82">
        <v>0</v>
      </c>
      <c r="G462" s="80">
        <f t="shared" si="307"/>
        <v>0</v>
      </c>
      <c r="H462" s="81"/>
      <c r="I462" s="82"/>
      <c r="J462" s="80">
        <f t="shared" si="308"/>
        <v>0</v>
      </c>
      <c r="K462" s="81">
        <f t="shared" si="315"/>
        <v>0</v>
      </c>
      <c r="L462" s="82">
        <f t="shared" si="316"/>
        <v>0</v>
      </c>
      <c r="M462" s="80">
        <f t="shared" si="309"/>
        <v>0</v>
      </c>
      <c r="N462" s="81"/>
      <c r="O462" s="82"/>
      <c r="P462" s="80">
        <f t="shared" si="310"/>
        <v>0</v>
      </c>
      <c r="Q462" s="81">
        <f t="shared" si="317"/>
        <v>0</v>
      </c>
      <c r="R462" s="82">
        <f t="shared" si="318"/>
        <v>0</v>
      </c>
      <c r="S462" s="80">
        <f t="shared" si="311"/>
        <v>0</v>
      </c>
      <c r="T462" s="81"/>
      <c r="U462" s="82"/>
      <c r="V462" s="80">
        <f t="shared" si="312"/>
        <v>0</v>
      </c>
      <c r="W462" s="81">
        <f t="shared" si="319"/>
        <v>0</v>
      </c>
      <c r="X462" s="82">
        <f t="shared" si="320"/>
        <v>0</v>
      </c>
      <c r="Y462" s="80">
        <f t="shared" si="313"/>
        <v>0</v>
      </c>
      <c r="Z462" s="81"/>
      <c r="AA462" s="82"/>
      <c r="AB462" s="80">
        <f t="shared" si="314"/>
        <v>0</v>
      </c>
      <c r="AC462" s="81">
        <f t="shared" si="321"/>
        <v>0</v>
      </c>
      <c r="AD462" s="82">
        <f t="shared" si="322"/>
        <v>0</v>
      </c>
      <c r="AF462" s="46">
        <f t="shared" si="290"/>
        <v>0</v>
      </c>
      <c r="AG462" s="46"/>
    </row>
    <row r="463" spans="1:33" ht="12.75">
      <c r="A463" s="354"/>
      <c r="B463" s="106">
        <v>85204</v>
      </c>
      <c r="C463" s="83" t="s">
        <v>274</v>
      </c>
      <c r="D463" s="80">
        <v>8154316</v>
      </c>
      <c r="E463" s="81">
        <v>8154316</v>
      </c>
      <c r="F463" s="82">
        <v>0</v>
      </c>
      <c r="G463" s="80">
        <f t="shared" si="307"/>
        <v>0</v>
      </c>
      <c r="H463" s="81">
        <f>H464+H467</f>
        <v>0</v>
      </c>
      <c r="I463" s="82">
        <f>I464+I467</f>
        <v>0</v>
      </c>
      <c r="J463" s="80">
        <f t="shared" si="308"/>
        <v>8154316</v>
      </c>
      <c r="K463" s="81">
        <f t="shared" si="315"/>
        <v>8154316</v>
      </c>
      <c r="L463" s="82">
        <f t="shared" si="316"/>
        <v>0</v>
      </c>
      <c r="M463" s="80">
        <f t="shared" si="309"/>
        <v>0</v>
      </c>
      <c r="N463" s="81">
        <f>N464+N467</f>
        <v>0</v>
      </c>
      <c r="O463" s="82">
        <f>O464+O467</f>
        <v>0</v>
      </c>
      <c r="P463" s="80">
        <f t="shared" si="310"/>
        <v>8154316</v>
      </c>
      <c r="Q463" s="81">
        <f t="shared" si="317"/>
        <v>8154316</v>
      </c>
      <c r="R463" s="82">
        <f t="shared" si="318"/>
        <v>0</v>
      </c>
      <c r="S463" s="80">
        <f t="shared" si="311"/>
        <v>0</v>
      </c>
      <c r="T463" s="81">
        <f>T464+T467</f>
        <v>0</v>
      </c>
      <c r="U463" s="82">
        <f>U464+U467</f>
        <v>0</v>
      </c>
      <c r="V463" s="80">
        <f t="shared" si="312"/>
        <v>8154316</v>
      </c>
      <c r="W463" s="81">
        <f t="shared" si="319"/>
        <v>8154316</v>
      </c>
      <c r="X463" s="82">
        <f t="shared" si="320"/>
        <v>0</v>
      </c>
      <c r="Y463" s="80">
        <f t="shared" si="313"/>
        <v>-20100</v>
      </c>
      <c r="Z463" s="81">
        <f>Z464+Z467</f>
        <v>-20100</v>
      </c>
      <c r="AA463" s="82">
        <f>AA464+AA467</f>
        <v>0</v>
      </c>
      <c r="AB463" s="80">
        <f t="shared" si="314"/>
        <v>8134216</v>
      </c>
      <c r="AC463" s="81">
        <f t="shared" si="321"/>
        <v>8134216</v>
      </c>
      <c r="AD463" s="82">
        <f t="shared" si="322"/>
        <v>0</v>
      </c>
      <c r="AF463" s="46">
        <f t="shared" si="290"/>
        <v>0</v>
      </c>
      <c r="AG463" s="46"/>
    </row>
    <row r="464" spans="1:33" s="120" customFormat="1" ht="12.75">
      <c r="A464" s="354"/>
      <c r="B464" s="115"/>
      <c r="C464" s="116" t="s">
        <v>274</v>
      </c>
      <c r="D464" s="117">
        <v>7614316</v>
      </c>
      <c r="E464" s="118">
        <v>7614316</v>
      </c>
      <c r="F464" s="186">
        <v>0</v>
      </c>
      <c r="G464" s="117">
        <f t="shared" si="307"/>
        <v>0</v>
      </c>
      <c r="H464" s="118"/>
      <c r="I464" s="186">
        <v>0</v>
      </c>
      <c r="J464" s="117">
        <f t="shared" si="308"/>
        <v>7614316</v>
      </c>
      <c r="K464" s="118">
        <f t="shared" si="315"/>
        <v>7614316</v>
      </c>
      <c r="L464" s="186">
        <f t="shared" si="316"/>
        <v>0</v>
      </c>
      <c r="M464" s="117">
        <f t="shared" si="309"/>
        <v>0</v>
      </c>
      <c r="N464" s="118"/>
      <c r="O464" s="186">
        <v>0</v>
      </c>
      <c r="P464" s="117">
        <f t="shared" si="310"/>
        <v>7614316</v>
      </c>
      <c r="Q464" s="118">
        <f t="shared" si="317"/>
        <v>7614316</v>
      </c>
      <c r="R464" s="186">
        <f t="shared" si="318"/>
        <v>0</v>
      </c>
      <c r="S464" s="117">
        <f t="shared" si="311"/>
        <v>0</v>
      </c>
      <c r="T464" s="118"/>
      <c r="U464" s="186">
        <v>0</v>
      </c>
      <c r="V464" s="117">
        <f t="shared" si="312"/>
        <v>7614316</v>
      </c>
      <c r="W464" s="118">
        <f t="shared" si="319"/>
        <v>7614316</v>
      </c>
      <c r="X464" s="186">
        <f t="shared" si="320"/>
        <v>0</v>
      </c>
      <c r="Y464" s="117">
        <f t="shared" si="313"/>
        <v>-20100</v>
      </c>
      <c r="Z464" s="118">
        <f>-20100</f>
        <v>-20100</v>
      </c>
      <c r="AA464" s="186"/>
      <c r="AB464" s="117">
        <f t="shared" si="314"/>
        <v>7594216</v>
      </c>
      <c r="AC464" s="118">
        <f t="shared" si="321"/>
        <v>7594216</v>
      </c>
      <c r="AD464" s="186">
        <f t="shared" si="322"/>
        <v>0</v>
      </c>
      <c r="AF464" s="46">
        <f t="shared" si="290"/>
        <v>0</v>
      </c>
      <c r="AG464" s="46"/>
    </row>
    <row r="465" spans="1:33" s="147" customFormat="1" ht="29.25" customHeight="1">
      <c r="A465" s="375"/>
      <c r="B465" s="109"/>
      <c r="C465" s="224" t="s">
        <v>333</v>
      </c>
      <c r="D465" s="252">
        <v>480000</v>
      </c>
      <c r="E465" s="124">
        <v>480000</v>
      </c>
      <c r="F465" s="125">
        <v>0</v>
      </c>
      <c r="G465" s="252">
        <f t="shared" si="307"/>
        <v>0</v>
      </c>
      <c r="H465" s="124"/>
      <c r="I465" s="125">
        <v>0</v>
      </c>
      <c r="J465" s="252">
        <f t="shared" si="308"/>
        <v>480000</v>
      </c>
      <c r="K465" s="124">
        <f t="shared" si="315"/>
        <v>480000</v>
      </c>
      <c r="L465" s="125">
        <f t="shared" si="316"/>
        <v>0</v>
      </c>
      <c r="M465" s="252">
        <f t="shared" si="309"/>
        <v>0</v>
      </c>
      <c r="N465" s="124"/>
      <c r="O465" s="125">
        <v>0</v>
      </c>
      <c r="P465" s="252">
        <f t="shared" si="310"/>
        <v>480000</v>
      </c>
      <c r="Q465" s="124">
        <f t="shared" si="317"/>
        <v>480000</v>
      </c>
      <c r="R465" s="125">
        <f t="shared" si="318"/>
        <v>0</v>
      </c>
      <c r="S465" s="252">
        <f t="shared" si="311"/>
        <v>0</v>
      </c>
      <c r="T465" s="124"/>
      <c r="U465" s="125">
        <v>0</v>
      </c>
      <c r="V465" s="252">
        <f t="shared" si="312"/>
        <v>480000</v>
      </c>
      <c r="W465" s="124">
        <f t="shared" si="319"/>
        <v>480000</v>
      </c>
      <c r="X465" s="125">
        <f t="shared" si="320"/>
        <v>0</v>
      </c>
      <c r="Y465" s="252">
        <f t="shared" si="313"/>
        <v>0</v>
      </c>
      <c r="Z465" s="124"/>
      <c r="AA465" s="125"/>
      <c r="AB465" s="252">
        <f t="shared" si="314"/>
        <v>480000</v>
      </c>
      <c r="AC465" s="124">
        <f t="shared" si="321"/>
        <v>480000</v>
      </c>
      <c r="AD465" s="125">
        <f t="shared" si="322"/>
        <v>0</v>
      </c>
      <c r="AF465" s="46">
        <f t="shared" si="290"/>
        <v>0</v>
      </c>
      <c r="AG465" s="46"/>
    </row>
    <row r="466" spans="1:33" s="147" customFormat="1" ht="12.75">
      <c r="A466" s="375"/>
      <c r="B466" s="109"/>
      <c r="C466" s="110" t="s">
        <v>332</v>
      </c>
      <c r="D466" s="252"/>
      <c r="E466" s="124"/>
      <c r="F466" s="125"/>
      <c r="G466" s="252"/>
      <c r="H466" s="124"/>
      <c r="I466" s="125"/>
      <c r="J466" s="252"/>
      <c r="K466" s="124"/>
      <c r="L466" s="125"/>
      <c r="M466" s="252"/>
      <c r="N466" s="124"/>
      <c r="O466" s="125"/>
      <c r="P466" s="252">
        <v>0</v>
      </c>
      <c r="Q466" s="124">
        <v>0</v>
      </c>
      <c r="R466" s="125">
        <v>0</v>
      </c>
      <c r="S466" s="252"/>
      <c r="T466" s="124"/>
      <c r="U466" s="125"/>
      <c r="V466" s="252">
        <f>W466+X466</f>
        <v>234000</v>
      </c>
      <c r="W466" s="124">
        <v>234000</v>
      </c>
      <c r="X466" s="125">
        <v>0</v>
      </c>
      <c r="Y466" s="252"/>
      <c r="Z466" s="124"/>
      <c r="AA466" s="125"/>
      <c r="AB466" s="252">
        <f aca="true" t="shared" si="323" ref="AB466:AB489">AC466+AD466</f>
        <v>234000</v>
      </c>
      <c r="AC466" s="124">
        <v>234000</v>
      </c>
      <c r="AD466" s="125">
        <v>0</v>
      </c>
      <c r="AF466" s="46">
        <f t="shared" si="290"/>
        <v>234000</v>
      </c>
      <c r="AG466" s="46"/>
    </row>
    <row r="467" spans="1:33" s="9" customFormat="1" ht="12.75">
      <c r="A467" s="376"/>
      <c r="B467" s="140"/>
      <c r="C467" s="129" t="s">
        <v>272</v>
      </c>
      <c r="D467" s="112">
        <v>540000</v>
      </c>
      <c r="E467" s="113">
        <v>540000</v>
      </c>
      <c r="F467" s="128">
        <v>0</v>
      </c>
      <c r="G467" s="112">
        <f t="shared" si="307"/>
        <v>0</v>
      </c>
      <c r="H467" s="113"/>
      <c r="I467" s="128">
        <v>0</v>
      </c>
      <c r="J467" s="112">
        <f t="shared" si="308"/>
        <v>540000</v>
      </c>
      <c r="K467" s="113">
        <f t="shared" si="315"/>
        <v>540000</v>
      </c>
      <c r="L467" s="128">
        <f t="shared" si="316"/>
        <v>0</v>
      </c>
      <c r="M467" s="112">
        <f t="shared" si="309"/>
        <v>0</v>
      </c>
      <c r="N467" s="113"/>
      <c r="O467" s="128">
        <v>0</v>
      </c>
      <c r="P467" s="112">
        <f t="shared" si="310"/>
        <v>540000</v>
      </c>
      <c r="Q467" s="113">
        <f t="shared" si="317"/>
        <v>540000</v>
      </c>
      <c r="R467" s="128">
        <f t="shared" si="318"/>
        <v>0</v>
      </c>
      <c r="S467" s="112">
        <f t="shared" si="311"/>
        <v>0</v>
      </c>
      <c r="T467" s="113"/>
      <c r="U467" s="128">
        <v>0</v>
      </c>
      <c r="V467" s="112">
        <f t="shared" si="312"/>
        <v>540000</v>
      </c>
      <c r="W467" s="113">
        <f t="shared" si="319"/>
        <v>540000</v>
      </c>
      <c r="X467" s="128">
        <f t="shared" si="320"/>
        <v>0</v>
      </c>
      <c r="Y467" s="112">
        <f aca="true" t="shared" si="324" ref="Y467:Y489">Z467+AA467</f>
        <v>0</v>
      </c>
      <c r="Z467" s="113"/>
      <c r="AA467" s="128"/>
      <c r="AB467" s="112">
        <f t="shared" si="323"/>
        <v>540000</v>
      </c>
      <c r="AC467" s="113">
        <f aca="true" t="shared" si="325" ref="AC467:AC483">W467+Z467</f>
        <v>540000</v>
      </c>
      <c r="AD467" s="128">
        <f aca="true" t="shared" si="326" ref="AD467:AD483">AA467+X467</f>
        <v>0</v>
      </c>
      <c r="AF467" s="46">
        <f t="shared" si="290"/>
        <v>0</v>
      </c>
      <c r="AG467" s="46"/>
    </row>
    <row r="468" spans="1:71" s="379" customFormat="1" ht="12.75" hidden="1">
      <c r="A468" s="377"/>
      <c r="B468" s="106">
        <v>85218</v>
      </c>
      <c r="C468" s="83" t="s">
        <v>275</v>
      </c>
      <c r="D468" s="80">
        <v>0</v>
      </c>
      <c r="E468" s="81">
        <v>0</v>
      </c>
      <c r="F468" s="82">
        <v>0</v>
      </c>
      <c r="G468" s="80">
        <f t="shared" si="307"/>
        <v>0</v>
      </c>
      <c r="H468" s="81"/>
      <c r="I468" s="82"/>
      <c r="J468" s="80">
        <f t="shared" si="308"/>
        <v>0</v>
      </c>
      <c r="K468" s="81">
        <f t="shared" si="315"/>
        <v>0</v>
      </c>
      <c r="L468" s="82">
        <f t="shared" si="316"/>
        <v>0</v>
      </c>
      <c r="M468" s="80">
        <f t="shared" si="309"/>
        <v>0</v>
      </c>
      <c r="N468" s="81"/>
      <c r="O468" s="82"/>
      <c r="P468" s="80">
        <f t="shared" si="310"/>
        <v>0</v>
      </c>
      <c r="Q468" s="81">
        <f t="shared" si="317"/>
        <v>0</v>
      </c>
      <c r="R468" s="82">
        <f t="shared" si="318"/>
        <v>0</v>
      </c>
      <c r="S468" s="80">
        <f t="shared" si="311"/>
        <v>0</v>
      </c>
      <c r="T468" s="81"/>
      <c r="U468" s="82"/>
      <c r="V468" s="80">
        <f t="shared" si="312"/>
        <v>0</v>
      </c>
      <c r="W468" s="81">
        <f t="shared" si="319"/>
        <v>0</v>
      </c>
      <c r="X468" s="82">
        <f t="shared" si="320"/>
        <v>0</v>
      </c>
      <c r="Y468" s="80">
        <f t="shared" si="324"/>
        <v>0</v>
      </c>
      <c r="Z468" s="81"/>
      <c r="AA468" s="82"/>
      <c r="AB468" s="80">
        <f t="shared" si="323"/>
        <v>0</v>
      </c>
      <c r="AC468" s="81">
        <f t="shared" si="325"/>
        <v>0</v>
      </c>
      <c r="AD468" s="82">
        <f t="shared" si="326"/>
        <v>0</v>
      </c>
      <c r="AE468" s="378"/>
      <c r="AF468" s="46">
        <f t="shared" si="290"/>
        <v>0</v>
      </c>
      <c r="AG468" s="46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</row>
    <row r="469" spans="1:33" ht="22.5">
      <c r="A469" s="354"/>
      <c r="B469" s="106">
        <v>85220</v>
      </c>
      <c r="C469" s="189" t="s">
        <v>322</v>
      </c>
      <c r="D469" s="80">
        <v>2057045</v>
      </c>
      <c r="E469" s="81">
        <v>1857045</v>
      </c>
      <c r="F469" s="82">
        <v>200000</v>
      </c>
      <c r="G469" s="80">
        <f t="shared" si="307"/>
        <v>0</v>
      </c>
      <c r="H469" s="81">
        <f>H470+H472+H473</f>
        <v>0</v>
      </c>
      <c r="I469" s="82">
        <f>I470+I472+I473</f>
        <v>0</v>
      </c>
      <c r="J469" s="80">
        <f t="shared" si="308"/>
        <v>2057045</v>
      </c>
      <c r="K469" s="81">
        <f t="shared" si="315"/>
        <v>1857045</v>
      </c>
      <c r="L469" s="82">
        <f t="shared" si="316"/>
        <v>200000</v>
      </c>
      <c r="M469" s="80">
        <f t="shared" si="309"/>
        <v>0</v>
      </c>
      <c r="N469" s="81">
        <f>N470+N472+N473</f>
        <v>0</v>
      </c>
      <c r="O469" s="82">
        <f>O470+O472+O473</f>
        <v>0</v>
      </c>
      <c r="P469" s="80">
        <f t="shared" si="310"/>
        <v>2057045</v>
      </c>
      <c r="Q469" s="81">
        <f t="shared" si="317"/>
        <v>1857045</v>
      </c>
      <c r="R469" s="82">
        <f t="shared" si="318"/>
        <v>200000</v>
      </c>
      <c r="S469" s="80">
        <f t="shared" si="311"/>
        <v>87219</v>
      </c>
      <c r="T469" s="81">
        <f>T470+T472+T473+77351</f>
        <v>87219</v>
      </c>
      <c r="U469" s="82">
        <f>U470+U472+U473</f>
        <v>0</v>
      </c>
      <c r="V469" s="80">
        <f t="shared" si="312"/>
        <v>2144264</v>
      </c>
      <c r="W469" s="81">
        <f t="shared" si="319"/>
        <v>1944264</v>
      </c>
      <c r="X469" s="82">
        <f t="shared" si="320"/>
        <v>200000</v>
      </c>
      <c r="Y469" s="80">
        <f t="shared" si="324"/>
        <v>0</v>
      </c>
      <c r="Z469" s="81">
        <f>Z470+Z472+Z473</f>
        <v>0</v>
      </c>
      <c r="AA469" s="82">
        <f>AA470+AA472+AA473</f>
        <v>0</v>
      </c>
      <c r="AB469" s="80">
        <f t="shared" si="323"/>
        <v>2144264</v>
      </c>
      <c r="AC469" s="81">
        <f t="shared" si="325"/>
        <v>1944264</v>
      </c>
      <c r="AD469" s="82">
        <f t="shared" si="326"/>
        <v>200000</v>
      </c>
      <c r="AF469" s="46">
        <f t="shared" si="290"/>
        <v>0</v>
      </c>
      <c r="AG469" s="46"/>
    </row>
    <row r="470" spans="1:33" s="120" customFormat="1" ht="12.75">
      <c r="A470" s="354"/>
      <c r="B470" s="115"/>
      <c r="C470" s="116" t="s">
        <v>325</v>
      </c>
      <c r="D470" s="117">
        <v>1670102</v>
      </c>
      <c r="E470" s="118">
        <v>1470102</v>
      </c>
      <c r="F470" s="186">
        <v>200000</v>
      </c>
      <c r="G470" s="117">
        <f t="shared" si="307"/>
        <v>0</v>
      </c>
      <c r="H470" s="118"/>
      <c r="I470" s="186">
        <v>0</v>
      </c>
      <c r="J470" s="117">
        <f t="shared" si="308"/>
        <v>1670102</v>
      </c>
      <c r="K470" s="118">
        <f t="shared" si="315"/>
        <v>1470102</v>
      </c>
      <c r="L470" s="186">
        <f t="shared" si="316"/>
        <v>200000</v>
      </c>
      <c r="M470" s="117">
        <f t="shared" si="309"/>
        <v>0</v>
      </c>
      <c r="N470" s="118"/>
      <c r="O470" s="186">
        <v>0</v>
      </c>
      <c r="P470" s="117">
        <f t="shared" si="310"/>
        <v>1670102</v>
      </c>
      <c r="Q470" s="118">
        <f t="shared" si="317"/>
        <v>1470102</v>
      </c>
      <c r="R470" s="186">
        <f t="shared" si="318"/>
        <v>200000</v>
      </c>
      <c r="S470" s="117">
        <f t="shared" si="311"/>
        <v>9868</v>
      </c>
      <c r="T470" s="118">
        <f>T471</f>
        <v>9868</v>
      </c>
      <c r="U470" s="186">
        <f>U471</f>
        <v>0</v>
      </c>
      <c r="V470" s="117">
        <f t="shared" si="312"/>
        <v>1679970</v>
      </c>
      <c r="W470" s="118">
        <f t="shared" si="319"/>
        <v>1479970</v>
      </c>
      <c r="X470" s="186">
        <f t="shared" si="320"/>
        <v>200000</v>
      </c>
      <c r="Y470" s="117">
        <f t="shared" si="324"/>
        <v>0</v>
      </c>
      <c r="Z470" s="118">
        <f>Z471</f>
        <v>0</v>
      </c>
      <c r="AA470" s="186">
        <f>AA471</f>
        <v>0</v>
      </c>
      <c r="AB470" s="117">
        <f t="shared" si="323"/>
        <v>1679970</v>
      </c>
      <c r="AC470" s="118">
        <f t="shared" si="325"/>
        <v>1479970</v>
      </c>
      <c r="AD470" s="186">
        <f t="shared" si="326"/>
        <v>200000</v>
      </c>
      <c r="AF470" s="46">
        <f t="shared" si="290"/>
        <v>0</v>
      </c>
      <c r="AG470" s="46"/>
    </row>
    <row r="471" spans="1:33" s="269" customFormat="1" ht="12.75">
      <c r="A471" s="417"/>
      <c r="B471" s="265"/>
      <c r="C471" s="266" t="s">
        <v>42</v>
      </c>
      <c r="D471" s="418"/>
      <c r="E471" s="182"/>
      <c r="F471" s="268"/>
      <c r="G471" s="418"/>
      <c r="H471" s="182"/>
      <c r="I471" s="268"/>
      <c r="J471" s="418"/>
      <c r="K471" s="182"/>
      <c r="L471" s="268"/>
      <c r="M471" s="418"/>
      <c r="N471" s="182"/>
      <c r="O471" s="268"/>
      <c r="P471" s="418">
        <f>Q471+R471</f>
        <v>0</v>
      </c>
      <c r="Q471" s="182">
        <v>0</v>
      </c>
      <c r="R471" s="268">
        <v>0</v>
      </c>
      <c r="S471" s="418">
        <f>T471+U471</f>
        <v>9868</v>
      </c>
      <c r="T471" s="182">
        <v>9868</v>
      </c>
      <c r="U471" s="268">
        <v>0</v>
      </c>
      <c r="V471" s="418">
        <f t="shared" si="312"/>
        <v>9868</v>
      </c>
      <c r="W471" s="182">
        <f>Q471+T471</f>
        <v>9868</v>
      </c>
      <c r="X471" s="268">
        <f>U471+R471</f>
        <v>0</v>
      </c>
      <c r="Y471" s="418">
        <f t="shared" si="324"/>
        <v>0</v>
      </c>
      <c r="Z471" s="182"/>
      <c r="AA471" s="268"/>
      <c r="AB471" s="418">
        <f t="shared" si="323"/>
        <v>9868</v>
      </c>
      <c r="AC471" s="182">
        <f t="shared" si="325"/>
        <v>9868</v>
      </c>
      <c r="AD471" s="268">
        <f t="shared" si="326"/>
        <v>0</v>
      </c>
      <c r="AF471" s="46">
        <f t="shared" si="290"/>
        <v>0</v>
      </c>
      <c r="AG471" s="219"/>
    </row>
    <row r="472" spans="1:33" s="120" customFormat="1" ht="12.75">
      <c r="A472" s="354"/>
      <c r="B472" s="115"/>
      <c r="C472" s="116" t="s">
        <v>276</v>
      </c>
      <c r="D472" s="117">
        <v>266943</v>
      </c>
      <c r="E472" s="118">
        <v>266943</v>
      </c>
      <c r="F472" s="186">
        <v>0</v>
      </c>
      <c r="G472" s="117">
        <f t="shared" si="307"/>
        <v>0</v>
      </c>
      <c r="H472" s="118"/>
      <c r="I472" s="186">
        <v>0</v>
      </c>
      <c r="J472" s="117">
        <f t="shared" si="308"/>
        <v>266943</v>
      </c>
      <c r="K472" s="118">
        <f t="shared" si="315"/>
        <v>266943</v>
      </c>
      <c r="L472" s="186">
        <f t="shared" si="316"/>
        <v>0</v>
      </c>
      <c r="M472" s="117">
        <f t="shared" si="309"/>
        <v>0</v>
      </c>
      <c r="N472" s="118"/>
      <c r="O472" s="186">
        <v>0</v>
      </c>
      <c r="P472" s="117">
        <f t="shared" si="310"/>
        <v>266943</v>
      </c>
      <c r="Q472" s="118">
        <f t="shared" si="317"/>
        <v>266943</v>
      </c>
      <c r="R472" s="186">
        <f t="shared" si="318"/>
        <v>0</v>
      </c>
      <c r="S472" s="117">
        <f t="shared" si="311"/>
        <v>0</v>
      </c>
      <c r="T472" s="118"/>
      <c r="U472" s="186">
        <v>0</v>
      </c>
      <c r="V472" s="117">
        <f t="shared" si="312"/>
        <v>266943</v>
      </c>
      <c r="W472" s="118">
        <f t="shared" si="319"/>
        <v>266943</v>
      </c>
      <c r="X472" s="186">
        <f t="shared" si="320"/>
        <v>0</v>
      </c>
      <c r="Y472" s="117">
        <f t="shared" si="324"/>
        <v>0</v>
      </c>
      <c r="Z472" s="118"/>
      <c r="AA472" s="186"/>
      <c r="AB472" s="117">
        <f t="shared" si="323"/>
        <v>266943</v>
      </c>
      <c r="AC472" s="118">
        <f t="shared" si="325"/>
        <v>266943</v>
      </c>
      <c r="AD472" s="186">
        <f t="shared" si="326"/>
        <v>0</v>
      </c>
      <c r="AF472" s="46">
        <f t="shared" si="290"/>
        <v>0</v>
      </c>
      <c r="AG472" s="46"/>
    </row>
    <row r="473" spans="1:33" ht="13.5" thickBot="1">
      <c r="A473" s="354"/>
      <c r="B473" s="442"/>
      <c r="C473" s="443" t="s">
        <v>151</v>
      </c>
      <c r="D473" s="447">
        <v>120000</v>
      </c>
      <c r="E473" s="445">
        <v>120000</v>
      </c>
      <c r="F473" s="446">
        <v>0</v>
      </c>
      <c r="G473" s="447">
        <f t="shared" si="307"/>
        <v>0</v>
      </c>
      <c r="H473" s="445"/>
      <c r="I473" s="446">
        <v>0</v>
      </c>
      <c r="J473" s="447">
        <f t="shared" si="308"/>
        <v>120000</v>
      </c>
      <c r="K473" s="445">
        <f t="shared" si="315"/>
        <v>120000</v>
      </c>
      <c r="L473" s="446">
        <f t="shared" si="316"/>
        <v>0</v>
      </c>
      <c r="M473" s="447">
        <f t="shared" si="309"/>
        <v>0</v>
      </c>
      <c r="N473" s="445"/>
      <c r="O473" s="446">
        <v>0</v>
      </c>
      <c r="P473" s="447">
        <f t="shared" si="310"/>
        <v>120000</v>
      </c>
      <c r="Q473" s="445">
        <f t="shared" si="317"/>
        <v>120000</v>
      </c>
      <c r="R473" s="446">
        <f t="shared" si="318"/>
        <v>0</v>
      </c>
      <c r="S473" s="447">
        <f t="shared" si="311"/>
        <v>0</v>
      </c>
      <c r="T473" s="445"/>
      <c r="U473" s="446">
        <v>0</v>
      </c>
      <c r="V473" s="447">
        <f t="shared" si="312"/>
        <v>120000</v>
      </c>
      <c r="W473" s="445">
        <f t="shared" si="319"/>
        <v>120000</v>
      </c>
      <c r="X473" s="446">
        <f t="shared" si="320"/>
        <v>0</v>
      </c>
      <c r="Y473" s="447">
        <f t="shared" si="324"/>
        <v>0</v>
      </c>
      <c r="Z473" s="445"/>
      <c r="AA473" s="446"/>
      <c r="AB473" s="447">
        <f t="shared" si="323"/>
        <v>120000</v>
      </c>
      <c r="AC473" s="445">
        <f t="shared" si="325"/>
        <v>120000</v>
      </c>
      <c r="AD473" s="446">
        <f t="shared" si="326"/>
        <v>0</v>
      </c>
      <c r="AF473" s="46">
        <f t="shared" si="290"/>
        <v>0</v>
      </c>
      <c r="AG473" s="46"/>
    </row>
    <row r="474" spans="1:33" ht="12.75">
      <c r="A474" s="354"/>
      <c r="B474" s="140">
        <v>85226</v>
      </c>
      <c r="C474" s="129" t="s">
        <v>277</v>
      </c>
      <c r="D474" s="112">
        <v>431029</v>
      </c>
      <c r="E474" s="113">
        <v>431029</v>
      </c>
      <c r="F474" s="114">
        <v>0</v>
      </c>
      <c r="G474" s="112">
        <f t="shared" si="307"/>
        <v>0</v>
      </c>
      <c r="H474" s="113">
        <f>H475+H477</f>
        <v>0</v>
      </c>
      <c r="I474" s="114">
        <f>I475+I477</f>
        <v>0</v>
      </c>
      <c r="J474" s="112">
        <f t="shared" si="308"/>
        <v>431029</v>
      </c>
      <c r="K474" s="113">
        <f t="shared" si="315"/>
        <v>431029</v>
      </c>
      <c r="L474" s="114">
        <f t="shared" si="316"/>
        <v>0</v>
      </c>
      <c r="M474" s="112">
        <f t="shared" si="309"/>
        <v>0</v>
      </c>
      <c r="N474" s="113">
        <f>N475+N477</f>
        <v>0</v>
      </c>
      <c r="O474" s="114">
        <f>O475+O477</f>
        <v>0</v>
      </c>
      <c r="P474" s="112">
        <f t="shared" si="310"/>
        <v>431029</v>
      </c>
      <c r="Q474" s="113">
        <f t="shared" si="317"/>
        <v>431029</v>
      </c>
      <c r="R474" s="114">
        <f t="shared" si="318"/>
        <v>0</v>
      </c>
      <c r="S474" s="112">
        <f t="shared" si="311"/>
        <v>24854</v>
      </c>
      <c r="T474" s="113">
        <f>T475+T477</f>
        <v>24854</v>
      </c>
      <c r="U474" s="114">
        <f>U475+U477</f>
        <v>0</v>
      </c>
      <c r="V474" s="112">
        <f t="shared" si="312"/>
        <v>455883</v>
      </c>
      <c r="W474" s="113">
        <f t="shared" si="319"/>
        <v>455883</v>
      </c>
      <c r="X474" s="114">
        <f t="shared" si="320"/>
        <v>0</v>
      </c>
      <c r="Y474" s="112">
        <f t="shared" si="324"/>
        <v>1500</v>
      </c>
      <c r="Z474" s="113">
        <f>Z475+Z477</f>
        <v>1500</v>
      </c>
      <c r="AA474" s="114">
        <f>AA475+AA477</f>
        <v>0</v>
      </c>
      <c r="AB474" s="112">
        <f t="shared" si="323"/>
        <v>457383</v>
      </c>
      <c r="AC474" s="113">
        <f t="shared" si="325"/>
        <v>457383</v>
      </c>
      <c r="AD474" s="114">
        <f t="shared" si="326"/>
        <v>0</v>
      </c>
      <c r="AF474" s="46">
        <f t="shared" si="290"/>
        <v>0</v>
      </c>
      <c r="AG474" s="46"/>
    </row>
    <row r="475" spans="1:33" s="120" customFormat="1" ht="12.75">
      <c r="A475" s="354"/>
      <c r="B475" s="300"/>
      <c r="C475" s="301" t="s">
        <v>278</v>
      </c>
      <c r="D475" s="250">
        <v>303129</v>
      </c>
      <c r="E475" s="288">
        <v>303129</v>
      </c>
      <c r="F475" s="161">
        <v>0</v>
      </c>
      <c r="G475" s="250">
        <f t="shared" si="307"/>
        <v>0</v>
      </c>
      <c r="H475" s="288"/>
      <c r="I475" s="161">
        <v>0</v>
      </c>
      <c r="J475" s="250">
        <f t="shared" si="308"/>
        <v>303129</v>
      </c>
      <c r="K475" s="288">
        <f t="shared" si="315"/>
        <v>303129</v>
      </c>
      <c r="L475" s="161">
        <f t="shared" si="316"/>
        <v>0</v>
      </c>
      <c r="M475" s="250">
        <f t="shared" si="309"/>
        <v>0</v>
      </c>
      <c r="N475" s="288"/>
      <c r="O475" s="161">
        <v>0</v>
      </c>
      <c r="P475" s="250">
        <f t="shared" si="310"/>
        <v>303129</v>
      </c>
      <c r="Q475" s="288">
        <f t="shared" si="317"/>
        <v>303129</v>
      </c>
      <c r="R475" s="161">
        <f t="shared" si="318"/>
        <v>0</v>
      </c>
      <c r="S475" s="250">
        <f t="shared" si="311"/>
        <v>24854</v>
      </c>
      <c r="T475" s="288">
        <f>10688+14166</f>
        <v>24854</v>
      </c>
      <c r="U475" s="161">
        <v>0</v>
      </c>
      <c r="V475" s="250">
        <f t="shared" si="312"/>
        <v>327983</v>
      </c>
      <c r="W475" s="288">
        <f t="shared" si="319"/>
        <v>327983</v>
      </c>
      <c r="X475" s="161">
        <f t="shared" si="320"/>
        <v>0</v>
      </c>
      <c r="Y475" s="250">
        <f t="shared" si="324"/>
        <v>1500</v>
      </c>
      <c r="Z475" s="288">
        <v>1500</v>
      </c>
      <c r="AA475" s="161"/>
      <c r="AB475" s="250">
        <f t="shared" si="323"/>
        <v>329483</v>
      </c>
      <c r="AC475" s="288">
        <f t="shared" si="325"/>
        <v>329483</v>
      </c>
      <c r="AD475" s="161">
        <f t="shared" si="326"/>
        <v>0</v>
      </c>
      <c r="AF475" s="46">
        <f t="shared" si="290"/>
        <v>0</v>
      </c>
      <c r="AG475" s="46"/>
    </row>
    <row r="476" spans="1:33" s="147" customFormat="1" ht="12.75" hidden="1">
      <c r="A476" s="375"/>
      <c r="B476" s="109"/>
      <c r="C476" s="110" t="s">
        <v>39</v>
      </c>
      <c r="D476" s="252">
        <v>0</v>
      </c>
      <c r="E476" s="124">
        <v>0</v>
      </c>
      <c r="F476" s="125">
        <v>0</v>
      </c>
      <c r="G476" s="252">
        <f t="shared" si="307"/>
        <v>0</v>
      </c>
      <c r="H476" s="124"/>
      <c r="I476" s="125">
        <v>0</v>
      </c>
      <c r="J476" s="252">
        <f t="shared" si="308"/>
        <v>0</v>
      </c>
      <c r="K476" s="124">
        <f t="shared" si="315"/>
        <v>0</v>
      </c>
      <c r="L476" s="125">
        <f t="shared" si="316"/>
        <v>0</v>
      </c>
      <c r="M476" s="252">
        <f t="shared" si="309"/>
        <v>0</v>
      </c>
      <c r="N476" s="124"/>
      <c r="O476" s="125">
        <v>0</v>
      </c>
      <c r="P476" s="252">
        <f t="shared" si="310"/>
        <v>0</v>
      </c>
      <c r="Q476" s="124">
        <f t="shared" si="317"/>
        <v>0</v>
      </c>
      <c r="R476" s="125">
        <f t="shared" si="318"/>
        <v>0</v>
      </c>
      <c r="S476" s="252">
        <f t="shared" si="311"/>
        <v>0</v>
      </c>
      <c r="T476" s="124"/>
      <c r="U476" s="125">
        <v>0</v>
      </c>
      <c r="V476" s="252">
        <f t="shared" si="312"/>
        <v>0</v>
      </c>
      <c r="W476" s="124">
        <f t="shared" si="319"/>
        <v>0</v>
      </c>
      <c r="X476" s="125">
        <f t="shared" si="320"/>
        <v>0</v>
      </c>
      <c r="Y476" s="252">
        <f t="shared" si="324"/>
        <v>0</v>
      </c>
      <c r="Z476" s="124"/>
      <c r="AA476" s="125"/>
      <c r="AB476" s="252">
        <f t="shared" si="323"/>
        <v>0</v>
      </c>
      <c r="AC476" s="124">
        <f t="shared" si="325"/>
        <v>0</v>
      </c>
      <c r="AD476" s="125">
        <f t="shared" si="326"/>
        <v>0</v>
      </c>
      <c r="AF476" s="46">
        <f aca="true" t="shared" si="327" ref="AF476:AF542">V476-(S476+P476)</f>
        <v>0</v>
      </c>
      <c r="AG476" s="46"/>
    </row>
    <row r="477" spans="1:33" ht="12.75">
      <c r="A477" s="354"/>
      <c r="B477" s="140"/>
      <c r="C477" s="129" t="s">
        <v>151</v>
      </c>
      <c r="D477" s="112">
        <v>127900</v>
      </c>
      <c r="E477" s="113">
        <v>127900</v>
      </c>
      <c r="F477" s="128">
        <v>0</v>
      </c>
      <c r="G477" s="112">
        <f t="shared" si="307"/>
        <v>0</v>
      </c>
      <c r="H477" s="113"/>
      <c r="I477" s="128">
        <v>0</v>
      </c>
      <c r="J477" s="112">
        <f t="shared" si="308"/>
        <v>127900</v>
      </c>
      <c r="K477" s="113">
        <f t="shared" si="315"/>
        <v>127900</v>
      </c>
      <c r="L477" s="128">
        <f t="shared" si="316"/>
        <v>0</v>
      </c>
      <c r="M477" s="112">
        <f t="shared" si="309"/>
        <v>0</v>
      </c>
      <c r="N477" s="113"/>
      <c r="O477" s="128">
        <v>0</v>
      </c>
      <c r="P477" s="112">
        <f t="shared" si="310"/>
        <v>127900</v>
      </c>
      <c r="Q477" s="113">
        <f t="shared" si="317"/>
        <v>127900</v>
      </c>
      <c r="R477" s="128">
        <f t="shared" si="318"/>
        <v>0</v>
      </c>
      <c r="S477" s="112">
        <f t="shared" si="311"/>
        <v>0</v>
      </c>
      <c r="T477" s="113"/>
      <c r="U477" s="128">
        <v>0</v>
      </c>
      <c r="V477" s="112">
        <f t="shared" si="312"/>
        <v>127900</v>
      </c>
      <c r="W477" s="113">
        <f t="shared" si="319"/>
        <v>127900</v>
      </c>
      <c r="X477" s="128">
        <f t="shared" si="320"/>
        <v>0</v>
      </c>
      <c r="Y477" s="112">
        <f t="shared" si="324"/>
        <v>0</v>
      </c>
      <c r="Z477" s="113"/>
      <c r="AA477" s="128"/>
      <c r="AB477" s="112">
        <f t="shared" si="323"/>
        <v>127900</v>
      </c>
      <c r="AC477" s="113">
        <f t="shared" si="325"/>
        <v>127900</v>
      </c>
      <c r="AD477" s="128">
        <f t="shared" si="326"/>
        <v>0</v>
      </c>
      <c r="AF477" s="46">
        <f t="shared" si="327"/>
        <v>0</v>
      </c>
      <c r="AG477" s="46"/>
    </row>
    <row r="478" spans="1:33" ht="12.75">
      <c r="A478" s="354"/>
      <c r="B478" s="140">
        <v>85233</v>
      </c>
      <c r="C478" s="129" t="s">
        <v>130</v>
      </c>
      <c r="D478" s="112">
        <v>15328</v>
      </c>
      <c r="E478" s="113">
        <v>15328</v>
      </c>
      <c r="F478" s="114">
        <v>0</v>
      </c>
      <c r="G478" s="112">
        <f t="shared" si="307"/>
        <v>0</v>
      </c>
      <c r="H478" s="113"/>
      <c r="I478" s="114">
        <v>0</v>
      </c>
      <c r="J478" s="112">
        <f t="shared" si="308"/>
        <v>15328</v>
      </c>
      <c r="K478" s="113">
        <f t="shared" si="315"/>
        <v>15328</v>
      </c>
      <c r="L478" s="114">
        <f t="shared" si="316"/>
        <v>0</v>
      </c>
      <c r="M478" s="112">
        <f t="shared" si="309"/>
        <v>0</v>
      </c>
      <c r="N478" s="113"/>
      <c r="O478" s="114">
        <v>0</v>
      </c>
      <c r="P478" s="112">
        <f t="shared" si="310"/>
        <v>15328</v>
      </c>
      <c r="Q478" s="113">
        <f t="shared" si="317"/>
        <v>15328</v>
      </c>
      <c r="R478" s="114">
        <f t="shared" si="318"/>
        <v>0</v>
      </c>
      <c r="S478" s="112">
        <f t="shared" si="311"/>
        <v>0</v>
      </c>
      <c r="T478" s="113"/>
      <c r="U478" s="114">
        <v>0</v>
      </c>
      <c r="V478" s="112">
        <f t="shared" si="312"/>
        <v>15328</v>
      </c>
      <c r="W478" s="113">
        <f t="shared" si="319"/>
        <v>15328</v>
      </c>
      <c r="X478" s="114">
        <f t="shared" si="320"/>
        <v>0</v>
      </c>
      <c r="Y478" s="112">
        <f t="shared" si="324"/>
        <v>0</v>
      </c>
      <c r="Z478" s="113"/>
      <c r="AA478" s="114"/>
      <c r="AB478" s="112">
        <f t="shared" si="323"/>
        <v>15328</v>
      </c>
      <c r="AC478" s="113">
        <f t="shared" si="325"/>
        <v>15328</v>
      </c>
      <c r="AD478" s="114">
        <f t="shared" si="326"/>
        <v>0</v>
      </c>
      <c r="AF478" s="46">
        <f t="shared" si="327"/>
        <v>0</v>
      </c>
      <c r="AG478" s="46"/>
    </row>
    <row r="479" spans="1:33" ht="12.75">
      <c r="A479" s="354"/>
      <c r="B479" s="140">
        <v>85295</v>
      </c>
      <c r="C479" s="129" t="s">
        <v>80</v>
      </c>
      <c r="D479" s="112">
        <v>497691</v>
      </c>
      <c r="E479" s="113">
        <v>497691</v>
      </c>
      <c r="F479" s="114">
        <v>0</v>
      </c>
      <c r="G479" s="112">
        <f t="shared" si="307"/>
        <v>8883</v>
      </c>
      <c r="H479" s="113">
        <f>SUM(H480:H483)</f>
        <v>8883</v>
      </c>
      <c r="I479" s="114">
        <f>SUM(I480:I483)</f>
        <v>0</v>
      </c>
      <c r="J479" s="112">
        <f t="shared" si="308"/>
        <v>506574</v>
      </c>
      <c r="K479" s="113">
        <f t="shared" si="315"/>
        <v>506574</v>
      </c>
      <c r="L479" s="114">
        <f t="shared" si="316"/>
        <v>0</v>
      </c>
      <c r="M479" s="112">
        <f t="shared" si="309"/>
        <v>0</v>
      </c>
      <c r="N479" s="113">
        <f>SUM(N480:N483)</f>
        <v>0</v>
      </c>
      <c r="O479" s="114">
        <f>SUM(O480:O483)</f>
        <v>0</v>
      </c>
      <c r="P479" s="112">
        <f t="shared" si="310"/>
        <v>506574</v>
      </c>
      <c r="Q479" s="113">
        <f t="shared" si="317"/>
        <v>506574</v>
      </c>
      <c r="R479" s="114">
        <f t="shared" si="318"/>
        <v>0</v>
      </c>
      <c r="S479" s="112">
        <f t="shared" si="311"/>
        <v>122175</v>
      </c>
      <c r="T479" s="113">
        <f>SUM(T480:T483)</f>
        <v>122175</v>
      </c>
      <c r="U479" s="114">
        <f>SUM(U480:U483)</f>
        <v>0</v>
      </c>
      <c r="V479" s="112">
        <f t="shared" si="312"/>
        <v>628749</v>
      </c>
      <c r="W479" s="113">
        <f t="shared" si="319"/>
        <v>628749</v>
      </c>
      <c r="X479" s="114">
        <f t="shared" si="320"/>
        <v>0</v>
      </c>
      <c r="Y479" s="112">
        <f t="shared" si="324"/>
        <v>0</v>
      </c>
      <c r="Z479" s="113">
        <f>SUM(Z480:Z483)</f>
        <v>0</v>
      </c>
      <c r="AA479" s="114">
        <f>SUM(AA480:AA483)</f>
        <v>0</v>
      </c>
      <c r="AB479" s="112">
        <f t="shared" si="323"/>
        <v>628749</v>
      </c>
      <c r="AC479" s="113">
        <f t="shared" si="325"/>
        <v>628749</v>
      </c>
      <c r="AD479" s="114">
        <f t="shared" si="326"/>
        <v>0</v>
      </c>
      <c r="AF479" s="46">
        <f t="shared" si="327"/>
        <v>0</v>
      </c>
      <c r="AG479" s="46"/>
    </row>
    <row r="480" spans="1:33" ht="12.75">
      <c r="A480" s="354"/>
      <c r="B480" s="108"/>
      <c r="C480" s="90" t="s">
        <v>279</v>
      </c>
      <c r="D480" s="91">
        <v>129000</v>
      </c>
      <c r="E480" s="92">
        <v>129000</v>
      </c>
      <c r="F480" s="186">
        <v>0</v>
      </c>
      <c r="G480" s="91">
        <f t="shared" si="307"/>
        <v>0</v>
      </c>
      <c r="H480" s="92"/>
      <c r="I480" s="186">
        <v>0</v>
      </c>
      <c r="J480" s="91">
        <f t="shared" si="308"/>
        <v>129000</v>
      </c>
      <c r="K480" s="92">
        <f t="shared" si="315"/>
        <v>129000</v>
      </c>
      <c r="L480" s="186">
        <f t="shared" si="316"/>
        <v>0</v>
      </c>
      <c r="M480" s="91">
        <f t="shared" si="309"/>
        <v>0</v>
      </c>
      <c r="N480" s="92"/>
      <c r="O480" s="186">
        <v>0</v>
      </c>
      <c r="P480" s="91">
        <f t="shared" si="310"/>
        <v>129000</v>
      </c>
      <c r="Q480" s="92">
        <f t="shared" si="317"/>
        <v>129000</v>
      </c>
      <c r="R480" s="186">
        <f t="shared" si="318"/>
        <v>0</v>
      </c>
      <c r="S480" s="91">
        <f t="shared" si="311"/>
        <v>0</v>
      </c>
      <c r="T480" s="92"/>
      <c r="U480" s="186">
        <v>0</v>
      </c>
      <c r="V480" s="91">
        <f t="shared" si="312"/>
        <v>129000</v>
      </c>
      <c r="W480" s="92">
        <f t="shared" si="319"/>
        <v>129000</v>
      </c>
      <c r="X480" s="186">
        <f t="shared" si="320"/>
        <v>0</v>
      </c>
      <c r="Y480" s="91">
        <f t="shared" si="324"/>
        <v>0</v>
      </c>
      <c r="Z480" s="92"/>
      <c r="AA480" s="186"/>
      <c r="AB480" s="91">
        <f t="shared" si="323"/>
        <v>129000</v>
      </c>
      <c r="AC480" s="92">
        <f t="shared" si="325"/>
        <v>129000</v>
      </c>
      <c r="AD480" s="186">
        <f t="shared" si="326"/>
        <v>0</v>
      </c>
      <c r="AF480" s="46">
        <f t="shared" si="327"/>
        <v>0</v>
      </c>
      <c r="AG480" s="46"/>
    </row>
    <row r="481" spans="1:33" ht="12.75">
      <c r="A481" s="354"/>
      <c r="B481" s="108"/>
      <c r="C481" s="90" t="s">
        <v>280</v>
      </c>
      <c r="D481" s="91">
        <v>134000</v>
      </c>
      <c r="E481" s="92">
        <v>134000</v>
      </c>
      <c r="F481" s="186">
        <v>0</v>
      </c>
      <c r="G481" s="91">
        <f t="shared" si="307"/>
        <v>0</v>
      </c>
      <c r="H481" s="92"/>
      <c r="I481" s="186">
        <v>0</v>
      </c>
      <c r="J481" s="91">
        <f t="shared" si="308"/>
        <v>134000</v>
      </c>
      <c r="K481" s="92">
        <f t="shared" si="315"/>
        <v>134000</v>
      </c>
      <c r="L481" s="186">
        <f t="shared" si="316"/>
        <v>0</v>
      </c>
      <c r="M481" s="91">
        <f t="shared" si="309"/>
        <v>0</v>
      </c>
      <c r="N481" s="92"/>
      <c r="O481" s="186">
        <v>0</v>
      </c>
      <c r="P481" s="91">
        <f t="shared" si="310"/>
        <v>134000</v>
      </c>
      <c r="Q481" s="92">
        <f t="shared" si="317"/>
        <v>134000</v>
      </c>
      <c r="R481" s="186">
        <f t="shared" si="318"/>
        <v>0</v>
      </c>
      <c r="S481" s="91">
        <f t="shared" si="311"/>
        <v>0</v>
      </c>
      <c r="T481" s="92"/>
      <c r="U481" s="186">
        <v>0</v>
      </c>
      <c r="V481" s="91">
        <f t="shared" si="312"/>
        <v>134000</v>
      </c>
      <c r="W481" s="92">
        <f t="shared" si="319"/>
        <v>134000</v>
      </c>
      <c r="X481" s="186">
        <f t="shared" si="320"/>
        <v>0</v>
      </c>
      <c r="Y481" s="91">
        <f t="shared" si="324"/>
        <v>0</v>
      </c>
      <c r="Z481" s="92"/>
      <c r="AA481" s="186"/>
      <c r="AB481" s="91">
        <f t="shared" si="323"/>
        <v>134000</v>
      </c>
      <c r="AC481" s="92">
        <f t="shared" si="325"/>
        <v>134000</v>
      </c>
      <c r="AD481" s="186">
        <f t="shared" si="326"/>
        <v>0</v>
      </c>
      <c r="AF481" s="46">
        <f t="shared" si="327"/>
        <v>0</v>
      </c>
      <c r="AG481" s="46"/>
    </row>
    <row r="482" spans="1:33" s="100" customFormat="1" ht="12.75">
      <c r="A482" s="366"/>
      <c r="B482" s="109"/>
      <c r="C482" s="110" t="s">
        <v>69</v>
      </c>
      <c r="D482" s="252">
        <v>214920</v>
      </c>
      <c r="E482" s="124">
        <v>214920</v>
      </c>
      <c r="F482" s="237">
        <v>0</v>
      </c>
      <c r="G482" s="252">
        <f t="shared" si="307"/>
        <v>8883</v>
      </c>
      <c r="H482" s="124">
        <v>8883</v>
      </c>
      <c r="I482" s="237">
        <v>0</v>
      </c>
      <c r="J482" s="252">
        <f t="shared" si="308"/>
        <v>223803</v>
      </c>
      <c r="K482" s="124">
        <f t="shared" si="315"/>
        <v>223803</v>
      </c>
      <c r="L482" s="237">
        <f t="shared" si="316"/>
        <v>0</v>
      </c>
      <c r="M482" s="252">
        <f t="shared" si="309"/>
        <v>0</v>
      </c>
      <c r="N482" s="124">
        <v>0</v>
      </c>
      <c r="O482" s="237">
        <v>0</v>
      </c>
      <c r="P482" s="252">
        <f t="shared" si="310"/>
        <v>223803</v>
      </c>
      <c r="Q482" s="124">
        <f t="shared" si="317"/>
        <v>223803</v>
      </c>
      <c r="R482" s="237">
        <f t="shared" si="318"/>
        <v>0</v>
      </c>
      <c r="S482" s="252">
        <f t="shared" si="311"/>
        <v>117946</v>
      </c>
      <c r="T482" s="124">
        <v>117946</v>
      </c>
      <c r="U482" s="237">
        <v>0</v>
      </c>
      <c r="V482" s="252">
        <f t="shared" si="312"/>
        <v>341749</v>
      </c>
      <c r="W482" s="124">
        <f t="shared" si="319"/>
        <v>341749</v>
      </c>
      <c r="X482" s="237">
        <f t="shared" si="320"/>
        <v>0</v>
      </c>
      <c r="Y482" s="252">
        <f t="shared" si="324"/>
        <v>0</v>
      </c>
      <c r="Z482" s="124"/>
      <c r="AA482" s="237"/>
      <c r="AB482" s="252">
        <f t="shared" si="323"/>
        <v>341749</v>
      </c>
      <c r="AC482" s="124">
        <f t="shared" si="325"/>
        <v>341749</v>
      </c>
      <c r="AD482" s="237">
        <f t="shared" si="326"/>
        <v>0</v>
      </c>
      <c r="AF482" s="46">
        <f t="shared" si="327"/>
        <v>0</v>
      </c>
      <c r="AG482" s="46"/>
    </row>
    <row r="483" spans="1:33" ht="25.5" customHeight="1">
      <c r="A483" s="354"/>
      <c r="B483" s="140"/>
      <c r="C483" s="157" t="s">
        <v>132</v>
      </c>
      <c r="D483" s="112">
        <v>19771</v>
      </c>
      <c r="E483" s="113">
        <v>19771</v>
      </c>
      <c r="F483" s="128">
        <v>0</v>
      </c>
      <c r="G483" s="112">
        <f t="shared" si="307"/>
        <v>0</v>
      </c>
      <c r="H483" s="113"/>
      <c r="I483" s="128">
        <v>0</v>
      </c>
      <c r="J483" s="112">
        <f t="shared" si="308"/>
        <v>19771</v>
      </c>
      <c r="K483" s="113">
        <f t="shared" si="315"/>
        <v>19771</v>
      </c>
      <c r="L483" s="128">
        <f t="shared" si="316"/>
        <v>0</v>
      </c>
      <c r="M483" s="112">
        <f t="shared" si="309"/>
        <v>0</v>
      </c>
      <c r="N483" s="113"/>
      <c r="O483" s="128">
        <v>0</v>
      </c>
      <c r="P483" s="112">
        <f t="shared" si="310"/>
        <v>19771</v>
      </c>
      <c r="Q483" s="113">
        <f t="shared" si="317"/>
        <v>19771</v>
      </c>
      <c r="R483" s="128">
        <f t="shared" si="318"/>
        <v>0</v>
      </c>
      <c r="S483" s="112">
        <f t="shared" si="311"/>
        <v>4229</v>
      </c>
      <c r="T483" s="113">
        <f>3949+280</f>
        <v>4229</v>
      </c>
      <c r="U483" s="128">
        <v>0</v>
      </c>
      <c r="V483" s="112">
        <f t="shared" si="312"/>
        <v>24000</v>
      </c>
      <c r="W483" s="113">
        <f t="shared" si="319"/>
        <v>24000</v>
      </c>
      <c r="X483" s="128">
        <f t="shared" si="320"/>
        <v>0</v>
      </c>
      <c r="Y483" s="112">
        <f t="shared" si="324"/>
        <v>0</v>
      </c>
      <c r="Z483" s="113"/>
      <c r="AA483" s="128"/>
      <c r="AB483" s="112">
        <f t="shared" si="323"/>
        <v>24000</v>
      </c>
      <c r="AC483" s="113">
        <f t="shared" si="325"/>
        <v>24000</v>
      </c>
      <c r="AD483" s="128">
        <f t="shared" si="326"/>
        <v>0</v>
      </c>
      <c r="AF483" s="46">
        <f t="shared" si="327"/>
        <v>0</v>
      </c>
      <c r="AG483" s="46"/>
    </row>
    <row r="484" spans="1:33" ht="12.75">
      <c r="A484" s="354"/>
      <c r="B484" s="133">
        <v>853</v>
      </c>
      <c r="C484" s="134" t="s">
        <v>167</v>
      </c>
      <c r="D484" s="75">
        <v>7447271</v>
      </c>
      <c r="E484" s="76">
        <v>6992139</v>
      </c>
      <c r="F484" s="158">
        <v>455132</v>
      </c>
      <c r="G484" s="75">
        <f t="shared" si="307"/>
        <v>0</v>
      </c>
      <c r="H484" s="76">
        <f>+H489+H490+H491+H487+H488+H485</f>
        <v>0</v>
      </c>
      <c r="I484" s="158">
        <f>+I489+I490+I491+I487+I488+I485</f>
        <v>0</v>
      </c>
      <c r="J484" s="75">
        <f t="shared" si="308"/>
        <v>7447271</v>
      </c>
      <c r="K484" s="76">
        <f>+K489+K490+K491+K487+K488+K485</f>
        <v>6992139</v>
      </c>
      <c r="L484" s="158">
        <f>+L489+L490+L491+L487+L488+L485</f>
        <v>455132</v>
      </c>
      <c r="M484" s="75">
        <f t="shared" si="309"/>
        <v>0</v>
      </c>
      <c r="N484" s="76">
        <f>+N489+N490+N491+N487+N488+N485</f>
        <v>0</v>
      </c>
      <c r="O484" s="158">
        <f>+O489+O490+O491+O487+O488+O485</f>
        <v>0</v>
      </c>
      <c r="P484" s="75">
        <f t="shared" si="310"/>
        <v>7447271</v>
      </c>
      <c r="Q484" s="76">
        <f>+Q489+Q490+Q491+Q487+Q488+Q485</f>
        <v>6992139</v>
      </c>
      <c r="R484" s="158">
        <f>+R489+R490+R491+R487+R488+R485</f>
        <v>455132</v>
      </c>
      <c r="S484" s="75">
        <f t="shared" si="311"/>
        <v>867</v>
      </c>
      <c r="T484" s="76">
        <f>+T489+T490+T491+T487+T488+T485</f>
        <v>867</v>
      </c>
      <c r="U484" s="158">
        <f>+U489+U490+U491+U487+U488+U485</f>
        <v>0</v>
      </c>
      <c r="V484" s="75">
        <f t="shared" si="312"/>
        <v>7448138</v>
      </c>
      <c r="W484" s="76">
        <f>+W489+W490+W491+W487+W488+W485</f>
        <v>6993006</v>
      </c>
      <c r="X484" s="158">
        <f>+X489+X490+X491+X487+X488+X485</f>
        <v>455132</v>
      </c>
      <c r="Y484" s="75">
        <f t="shared" si="324"/>
        <v>38410</v>
      </c>
      <c r="Z484" s="76">
        <f>+Z489+Z490+Z491+Z487+Z488+Z485</f>
        <v>38410</v>
      </c>
      <c r="AA484" s="158">
        <f>+AA489+AA490+AA491+AA487+AA488+AA485</f>
        <v>0</v>
      </c>
      <c r="AB484" s="75">
        <f t="shared" si="323"/>
        <v>7486548</v>
      </c>
      <c r="AC484" s="76">
        <f>+AC489+AC490+AC491+AC487+AC488+AC485</f>
        <v>7031416</v>
      </c>
      <c r="AD484" s="158">
        <f>+AD489+AD490+AD491+AD487+AD488+AD485</f>
        <v>455132</v>
      </c>
      <c r="AF484" s="46">
        <f t="shared" si="327"/>
        <v>0</v>
      </c>
      <c r="AG484" s="46"/>
    </row>
    <row r="485" spans="1:33" ht="24.75" customHeight="1">
      <c r="A485" s="354"/>
      <c r="B485" s="106">
        <v>85311</v>
      </c>
      <c r="C485" s="189" t="s">
        <v>281</v>
      </c>
      <c r="D485" s="80">
        <v>450000</v>
      </c>
      <c r="E485" s="81">
        <v>450000</v>
      </c>
      <c r="F485" s="190">
        <v>0</v>
      </c>
      <c r="G485" s="80">
        <f t="shared" si="307"/>
        <v>0</v>
      </c>
      <c r="H485" s="81"/>
      <c r="I485" s="190">
        <v>0</v>
      </c>
      <c r="J485" s="80">
        <f t="shared" si="308"/>
        <v>450000</v>
      </c>
      <c r="K485" s="81">
        <f aca="true" t="shared" si="328" ref="K485:K495">E485+H485</f>
        <v>450000</v>
      </c>
      <c r="L485" s="190">
        <f aca="true" t="shared" si="329" ref="L485:L495">I485+F485</f>
        <v>0</v>
      </c>
      <c r="M485" s="80">
        <f t="shared" si="309"/>
        <v>0</v>
      </c>
      <c r="N485" s="81"/>
      <c r="O485" s="190">
        <v>0</v>
      </c>
      <c r="P485" s="80">
        <f t="shared" si="310"/>
        <v>450000</v>
      </c>
      <c r="Q485" s="81">
        <f aca="true" t="shared" si="330" ref="Q485:Q495">K485+N485</f>
        <v>450000</v>
      </c>
      <c r="R485" s="190">
        <f aca="true" t="shared" si="331" ref="R485:R495">O485+L485</f>
        <v>0</v>
      </c>
      <c r="S485" s="80">
        <f t="shared" si="311"/>
        <v>0</v>
      </c>
      <c r="T485" s="81"/>
      <c r="U485" s="190">
        <v>0</v>
      </c>
      <c r="V485" s="80">
        <f t="shared" si="312"/>
        <v>450000</v>
      </c>
      <c r="W485" s="81">
        <f aca="true" t="shared" si="332" ref="W485:W495">Q485+T485</f>
        <v>450000</v>
      </c>
      <c r="X485" s="190">
        <f aca="true" t="shared" si="333" ref="X485:X495">U485+R485</f>
        <v>0</v>
      </c>
      <c r="Y485" s="80">
        <f t="shared" si="324"/>
        <v>38410</v>
      </c>
      <c r="Z485" s="81">
        <f>Z486</f>
        <v>38410</v>
      </c>
      <c r="AA485" s="190"/>
      <c r="AB485" s="80">
        <f t="shared" si="323"/>
        <v>488410</v>
      </c>
      <c r="AC485" s="81">
        <f aca="true" t="shared" si="334" ref="AC485:AC495">W485+Z485</f>
        <v>488410</v>
      </c>
      <c r="AD485" s="190">
        <f aca="true" t="shared" si="335" ref="AD485:AD495">AA485+X485</f>
        <v>0</v>
      </c>
      <c r="AF485" s="46">
        <f t="shared" si="327"/>
        <v>0</v>
      </c>
      <c r="AG485" s="46"/>
    </row>
    <row r="486" spans="1:33" s="100" customFormat="1" ht="12.75">
      <c r="A486" s="94"/>
      <c r="B486" s="126"/>
      <c r="C486" s="96" t="s">
        <v>39</v>
      </c>
      <c r="D486" s="97">
        <f>E486</f>
        <v>0</v>
      </c>
      <c r="E486" s="111"/>
      <c r="F486" s="284">
        <v>0</v>
      </c>
      <c r="G486" s="97">
        <f t="shared" si="307"/>
        <v>0</v>
      </c>
      <c r="H486" s="111"/>
      <c r="I486" s="284">
        <v>0</v>
      </c>
      <c r="J486" s="97">
        <f t="shared" si="308"/>
        <v>0</v>
      </c>
      <c r="K486" s="111">
        <f>E486+H486</f>
        <v>0</v>
      </c>
      <c r="L486" s="284">
        <f>I486+F486</f>
        <v>0</v>
      </c>
      <c r="M486" s="97">
        <f t="shared" si="309"/>
        <v>0</v>
      </c>
      <c r="N486" s="111"/>
      <c r="O486" s="284">
        <v>0</v>
      </c>
      <c r="P486" s="97">
        <f t="shared" si="310"/>
        <v>0</v>
      </c>
      <c r="Q486" s="111">
        <f>K486+N486</f>
        <v>0</v>
      </c>
      <c r="R486" s="284">
        <f>O486+L486</f>
        <v>0</v>
      </c>
      <c r="S486" s="97">
        <f t="shared" si="311"/>
        <v>0</v>
      </c>
      <c r="T486" s="111"/>
      <c r="U486" s="284">
        <v>0</v>
      </c>
      <c r="V486" s="97">
        <f t="shared" si="312"/>
        <v>0</v>
      </c>
      <c r="W486" s="111">
        <f>Q486+T486</f>
        <v>0</v>
      </c>
      <c r="X486" s="284">
        <f>U486+R486</f>
        <v>0</v>
      </c>
      <c r="Y486" s="97">
        <f t="shared" si="324"/>
        <v>38410</v>
      </c>
      <c r="Z486" s="111">
        <v>38410</v>
      </c>
      <c r="AA486" s="284"/>
      <c r="AB486" s="97">
        <f t="shared" si="323"/>
        <v>38410</v>
      </c>
      <c r="AC486" s="111">
        <f>W486+Z486</f>
        <v>38410</v>
      </c>
      <c r="AD486" s="284">
        <f>AA486+X486</f>
        <v>0</v>
      </c>
      <c r="AF486" s="46">
        <f t="shared" si="327"/>
        <v>0</v>
      </c>
      <c r="AG486" s="46"/>
    </row>
    <row r="487" spans="1:33" ht="12.75" customHeight="1" hidden="1">
      <c r="A487" s="354"/>
      <c r="B487" s="106">
        <v>85321</v>
      </c>
      <c r="C487" s="83" t="s">
        <v>282</v>
      </c>
      <c r="D487" s="80">
        <v>0</v>
      </c>
      <c r="E487" s="81">
        <v>0</v>
      </c>
      <c r="F487" s="190">
        <v>0</v>
      </c>
      <c r="G487" s="80">
        <f t="shared" si="307"/>
        <v>0</v>
      </c>
      <c r="H487" s="81"/>
      <c r="I487" s="190"/>
      <c r="J487" s="80">
        <f t="shared" si="308"/>
        <v>0</v>
      </c>
      <c r="K487" s="81">
        <f t="shared" si="328"/>
        <v>0</v>
      </c>
      <c r="L487" s="190">
        <f t="shared" si="329"/>
        <v>0</v>
      </c>
      <c r="M487" s="80">
        <f t="shared" si="309"/>
        <v>0</v>
      </c>
      <c r="N487" s="81"/>
      <c r="O487" s="190"/>
      <c r="P487" s="80">
        <f t="shared" si="310"/>
        <v>0</v>
      </c>
      <c r="Q487" s="81">
        <f t="shared" si="330"/>
        <v>0</v>
      </c>
      <c r="R487" s="190">
        <f t="shared" si="331"/>
        <v>0</v>
      </c>
      <c r="S487" s="80">
        <f t="shared" si="311"/>
        <v>0</v>
      </c>
      <c r="T487" s="81"/>
      <c r="U487" s="190"/>
      <c r="V487" s="80">
        <f t="shared" si="312"/>
        <v>0</v>
      </c>
      <c r="W487" s="81">
        <f t="shared" si="332"/>
        <v>0</v>
      </c>
      <c r="X487" s="190">
        <f t="shared" si="333"/>
        <v>0</v>
      </c>
      <c r="Y487" s="80">
        <f t="shared" si="324"/>
        <v>0</v>
      </c>
      <c r="Z487" s="81"/>
      <c r="AA487" s="190"/>
      <c r="AB487" s="80">
        <f t="shared" si="323"/>
        <v>0</v>
      </c>
      <c r="AC487" s="81">
        <f t="shared" si="334"/>
        <v>0</v>
      </c>
      <c r="AD487" s="190">
        <f t="shared" si="335"/>
        <v>0</v>
      </c>
      <c r="AF487" s="46">
        <f t="shared" si="327"/>
        <v>0</v>
      </c>
      <c r="AG487" s="46"/>
    </row>
    <row r="488" spans="1:33" ht="22.5" hidden="1">
      <c r="A488" s="354"/>
      <c r="B488" s="106">
        <v>85324</v>
      </c>
      <c r="C488" s="189" t="s">
        <v>283</v>
      </c>
      <c r="D488" s="80">
        <v>0</v>
      </c>
      <c r="E488" s="81">
        <v>0</v>
      </c>
      <c r="F488" s="190">
        <v>0</v>
      </c>
      <c r="G488" s="80">
        <f t="shared" si="307"/>
        <v>0</v>
      </c>
      <c r="H488" s="81"/>
      <c r="I488" s="190"/>
      <c r="J488" s="80">
        <f t="shared" si="308"/>
        <v>0</v>
      </c>
      <c r="K488" s="81">
        <f t="shared" si="328"/>
        <v>0</v>
      </c>
      <c r="L488" s="190">
        <f t="shared" si="329"/>
        <v>0</v>
      </c>
      <c r="M488" s="80">
        <f t="shared" si="309"/>
        <v>0</v>
      </c>
      <c r="N488" s="81"/>
      <c r="O488" s="190"/>
      <c r="P488" s="80">
        <f t="shared" si="310"/>
        <v>0</v>
      </c>
      <c r="Q488" s="81">
        <f t="shared" si="330"/>
        <v>0</v>
      </c>
      <c r="R488" s="190">
        <f t="shared" si="331"/>
        <v>0</v>
      </c>
      <c r="S488" s="80">
        <f t="shared" si="311"/>
        <v>0</v>
      </c>
      <c r="T488" s="81"/>
      <c r="U488" s="190"/>
      <c r="V488" s="80">
        <f t="shared" si="312"/>
        <v>0</v>
      </c>
      <c r="W488" s="81">
        <f t="shared" si="332"/>
        <v>0</v>
      </c>
      <c r="X488" s="190">
        <f t="shared" si="333"/>
        <v>0</v>
      </c>
      <c r="Y488" s="80">
        <f t="shared" si="324"/>
        <v>0</v>
      </c>
      <c r="Z488" s="81"/>
      <c r="AA488" s="190"/>
      <c r="AB488" s="80">
        <f t="shared" si="323"/>
        <v>0</v>
      </c>
      <c r="AC488" s="81">
        <f t="shared" si="334"/>
        <v>0</v>
      </c>
      <c r="AD488" s="190">
        <f t="shared" si="335"/>
        <v>0</v>
      </c>
      <c r="AF488" s="46">
        <f t="shared" si="327"/>
        <v>0</v>
      </c>
      <c r="AG488" s="46"/>
    </row>
    <row r="489" spans="1:33" ht="12.75">
      <c r="A489" s="354"/>
      <c r="B489" s="106">
        <v>85333</v>
      </c>
      <c r="C489" s="83" t="s">
        <v>284</v>
      </c>
      <c r="D489" s="80">
        <v>6474316</v>
      </c>
      <c r="E489" s="81">
        <v>6019184</v>
      </c>
      <c r="F489" s="190">
        <v>455132</v>
      </c>
      <c r="G489" s="80">
        <f t="shared" si="307"/>
        <v>0</v>
      </c>
      <c r="H489" s="81"/>
      <c r="I489" s="190"/>
      <c r="J489" s="80">
        <f t="shared" si="308"/>
        <v>6474316</v>
      </c>
      <c r="K489" s="81">
        <f t="shared" si="328"/>
        <v>6019184</v>
      </c>
      <c r="L489" s="190">
        <f t="shared" si="329"/>
        <v>455132</v>
      </c>
      <c r="M489" s="80">
        <f t="shared" si="309"/>
        <v>0</v>
      </c>
      <c r="N489" s="81"/>
      <c r="O489" s="190">
        <v>0</v>
      </c>
      <c r="P489" s="80">
        <f t="shared" si="310"/>
        <v>6474316</v>
      </c>
      <c r="Q489" s="81">
        <f t="shared" si="330"/>
        <v>6019184</v>
      </c>
      <c r="R489" s="190">
        <f t="shared" si="331"/>
        <v>455132</v>
      </c>
      <c r="S489" s="80">
        <f t="shared" si="311"/>
        <v>0</v>
      </c>
      <c r="T489" s="81"/>
      <c r="U489" s="190">
        <v>0</v>
      </c>
      <c r="V489" s="80">
        <f t="shared" si="312"/>
        <v>6474316</v>
      </c>
      <c r="W489" s="81">
        <f t="shared" si="332"/>
        <v>6019184</v>
      </c>
      <c r="X489" s="190">
        <f t="shared" si="333"/>
        <v>455132</v>
      </c>
      <c r="Y489" s="80">
        <f t="shared" si="324"/>
        <v>0</v>
      </c>
      <c r="Z489" s="81"/>
      <c r="AA489" s="190">
        <v>0</v>
      </c>
      <c r="AB489" s="80">
        <f t="shared" si="323"/>
        <v>6474316</v>
      </c>
      <c r="AC489" s="81">
        <f t="shared" si="334"/>
        <v>6019184</v>
      </c>
      <c r="AD489" s="190">
        <f t="shared" si="335"/>
        <v>455132</v>
      </c>
      <c r="AF489" s="46">
        <f t="shared" si="327"/>
        <v>0</v>
      </c>
      <c r="AG489" s="46"/>
    </row>
    <row r="490" spans="1:33" ht="12.75">
      <c r="A490" s="354"/>
      <c r="B490" s="106">
        <v>85334</v>
      </c>
      <c r="C490" s="83" t="s">
        <v>285</v>
      </c>
      <c r="D490" s="80">
        <v>25000</v>
      </c>
      <c r="E490" s="81">
        <v>25000</v>
      </c>
      <c r="F490" s="190">
        <v>0</v>
      </c>
      <c r="G490" s="80">
        <f>H490</f>
        <v>0</v>
      </c>
      <c r="H490" s="81"/>
      <c r="I490" s="190">
        <v>0</v>
      </c>
      <c r="J490" s="80">
        <f>K490</f>
        <v>25000</v>
      </c>
      <c r="K490" s="81">
        <f t="shared" si="328"/>
        <v>25000</v>
      </c>
      <c r="L490" s="190">
        <f t="shared" si="329"/>
        <v>0</v>
      </c>
      <c r="M490" s="80">
        <f>N490</f>
        <v>0</v>
      </c>
      <c r="N490" s="81"/>
      <c r="O490" s="190">
        <v>0</v>
      </c>
      <c r="P490" s="80">
        <f>Q490</f>
        <v>25000</v>
      </c>
      <c r="Q490" s="81">
        <f t="shared" si="330"/>
        <v>25000</v>
      </c>
      <c r="R490" s="190">
        <f t="shared" si="331"/>
        <v>0</v>
      </c>
      <c r="S490" s="80">
        <f>T490</f>
        <v>0</v>
      </c>
      <c r="T490" s="81"/>
      <c r="U490" s="190">
        <v>0</v>
      </c>
      <c r="V490" s="80">
        <f>W490</f>
        <v>25000</v>
      </c>
      <c r="W490" s="81">
        <f t="shared" si="332"/>
        <v>25000</v>
      </c>
      <c r="X490" s="190">
        <f t="shared" si="333"/>
        <v>0</v>
      </c>
      <c r="Y490" s="80">
        <f>Z490</f>
        <v>0</v>
      </c>
      <c r="Z490" s="81"/>
      <c r="AA490" s="190"/>
      <c r="AB490" s="80">
        <f>AC490</f>
        <v>25000</v>
      </c>
      <c r="AC490" s="81">
        <f t="shared" si="334"/>
        <v>25000</v>
      </c>
      <c r="AD490" s="190">
        <f t="shared" si="335"/>
        <v>0</v>
      </c>
      <c r="AF490" s="46">
        <f t="shared" si="327"/>
        <v>0</v>
      </c>
      <c r="AG490" s="46"/>
    </row>
    <row r="491" spans="1:33" ht="12.75">
      <c r="A491" s="354"/>
      <c r="B491" s="140">
        <v>85395</v>
      </c>
      <c r="C491" s="129" t="s">
        <v>29</v>
      </c>
      <c r="D491" s="112">
        <v>497955</v>
      </c>
      <c r="E491" s="81">
        <v>497955</v>
      </c>
      <c r="F491" s="82">
        <v>0</v>
      </c>
      <c r="G491" s="112">
        <f aca="true" t="shared" si="336" ref="G491:G531">H491+I491</f>
        <v>0</v>
      </c>
      <c r="H491" s="81">
        <f>H492+H494</f>
        <v>0</v>
      </c>
      <c r="I491" s="82">
        <f>I492+I494</f>
        <v>0</v>
      </c>
      <c r="J491" s="112">
        <f aca="true" t="shared" si="337" ref="J491:J531">K491+L491</f>
        <v>497955</v>
      </c>
      <c r="K491" s="81">
        <f t="shared" si="328"/>
        <v>497955</v>
      </c>
      <c r="L491" s="82">
        <f t="shared" si="329"/>
        <v>0</v>
      </c>
      <c r="M491" s="112">
        <f aca="true" t="shared" si="338" ref="M491:M531">N491+O491</f>
        <v>0</v>
      </c>
      <c r="N491" s="81">
        <f>N492+N494</f>
        <v>0</v>
      </c>
      <c r="O491" s="82">
        <f>O492+O494</f>
        <v>0</v>
      </c>
      <c r="P491" s="112">
        <f aca="true" t="shared" si="339" ref="P491:P531">Q491+R491</f>
        <v>497955</v>
      </c>
      <c r="Q491" s="81">
        <f t="shared" si="330"/>
        <v>497955</v>
      </c>
      <c r="R491" s="82">
        <f t="shared" si="331"/>
        <v>0</v>
      </c>
      <c r="S491" s="112">
        <f aca="true" t="shared" si="340" ref="S491:S513">T491+U491</f>
        <v>867</v>
      </c>
      <c r="T491" s="81">
        <f>T492+T494</f>
        <v>867</v>
      </c>
      <c r="U491" s="82">
        <f>U492+U494</f>
        <v>0</v>
      </c>
      <c r="V491" s="112">
        <f aca="true" t="shared" si="341" ref="V491:V531">W491+X491</f>
        <v>498822</v>
      </c>
      <c r="W491" s="81">
        <f t="shared" si="332"/>
        <v>498822</v>
      </c>
      <c r="X491" s="82">
        <f t="shared" si="333"/>
        <v>0</v>
      </c>
      <c r="Y491" s="112">
        <f aca="true" t="shared" si="342" ref="Y491:Y513">Z491+AA491</f>
        <v>0</v>
      </c>
      <c r="Z491" s="81">
        <f>Z492+Z494</f>
        <v>0</v>
      </c>
      <c r="AA491" s="82">
        <f>AA492+AA494</f>
        <v>0</v>
      </c>
      <c r="AB491" s="112">
        <f aca="true" t="shared" si="343" ref="AB491:AB531">AC491+AD491</f>
        <v>498822</v>
      </c>
      <c r="AC491" s="81">
        <f t="shared" si="334"/>
        <v>498822</v>
      </c>
      <c r="AD491" s="82">
        <f t="shared" si="335"/>
        <v>0</v>
      </c>
      <c r="AF491" s="46">
        <f t="shared" si="327"/>
        <v>0</v>
      </c>
      <c r="AG491" s="46"/>
    </row>
    <row r="492" spans="1:33" ht="12.75">
      <c r="A492" s="354"/>
      <c r="B492" s="130"/>
      <c r="C492" s="85" t="s">
        <v>286</v>
      </c>
      <c r="D492" s="88">
        <v>367305</v>
      </c>
      <c r="E492" s="288">
        <v>367305</v>
      </c>
      <c r="F492" s="161">
        <v>0</v>
      </c>
      <c r="G492" s="88">
        <f t="shared" si="336"/>
        <v>0</v>
      </c>
      <c r="H492" s="288"/>
      <c r="I492" s="161">
        <v>0</v>
      </c>
      <c r="J492" s="88">
        <f t="shared" si="337"/>
        <v>367305</v>
      </c>
      <c r="K492" s="288">
        <f t="shared" si="328"/>
        <v>367305</v>
      </c>
      <c r="L492" s="161">
        <f t="shared" si="329"/>
        <v>0</v>
      </c>
      <c r="M492" s="88">
        <f t="shared" si="338"/>
        <v>0</v>
      </c>
      <c r="N492" s="288"/>
      <c r="O492" s="161">
        <v>0</v>
      </c>
      <c r="P492" s="88">
        <f t="shared" si="339"/>
        <v>367305</v>
      </c>
      <c r="Q492" s="288">
        <f t="shared" si="330"/>
        <v>367305</v>
      </c>
      <c r="R492" s="161">
        <f t="shared" si="331"/>
        <v>0</v>
      </c>
      <c r="S492" s="88">
        <f t="shared" si="340"/>
        <v>867</v>
      </c>
      <c r="T492" s="288">
        <v>867</v>
      </c>
      <c r="U492" s="161">
        <v>0</v>
      </c>
      <c r="V492" s="88">
        <f t="shared" si="341"/>
        <v>368172</v>
      </c>
      <c r="W492" s="288">
        <f t="shared" si="332"/>
        <v>368172</v>
      </c>
      <c r="X492" s="161">
        <f t="shared" si="333"/>
        <v>0</v>
      </c>
      <c r="Y492" s="88">
        <f t="shared" si="342"/>
        <v>0</v>
      </c>
      <c r="Z492" s="288"/>
      <c r="AA492" s="161"/>
      <c r="AB492" s="88">
        <f t="shared" si="343"/>
        <v>368172</v>
      </c>
      <c r="AC492" s="288">
        <f t="shared" si="334"/>
        <v>368172</v>
      </c>
      <c r="AD492" s="161">
        <f t="shared" si="335"/>
        <v>0</v>
      </c>
      <c r="AF492" s="46">
        <f t="shared" si="327"/>
        <v>0</v>
      </c>
      <c r="AG492" s="46"/>
    </row>
    <row r="493" spans="1:33" s="100" customFormat="1" ht="12.75" hidden="1">
      <c r="A493" s="366"/>
      <c r="B493" s="109"/>
      <c r="C493" s="122" t="s">
        <v>42</v>
      </c>
      <c r="D493" s="252">
        <v>0</v>
      </c>
      <c r="E493" s="124">
        <v>0</v>
      </c>
      <c r="F493" s="237">
        <v>0</v>
      </c>
      <c r="G493" s="252">
        <f t="shared" si="336"/>
        <v>0</v>
      </c>
      <c r="H493" s="124">
        <v>0</v>
      </c>
      <c r="I493" s="237">
        <v>0</v>
      </c>
      <c r="J493" s="252">
        <f t="shared" si="337"/>
        <v>0</v>
      </c>
      <c r="K493" s="124">
        <f t="shared" si="328"/>
        <v>0</v>
      </c>
      <c r="L493" s="237">
        <f t="shared" si="329"/>
        <v>0</v>
      </c>
      <c r="M493" s="252">
        <f t="shared" si="338"/>
        <v>0</v>
      </c>
      <c r="N493" s="124">
        <v>0</v>
      </c>
      <c r="O493" s="237">
        <v>0</v>
      </c>
      <c r="P493" s="252">
        <f t="shared" si="339"/>
        <v>0</v>
      </c>
      <c r="Q493" s="124">
        <f t="shared" si="330"/>
        <v>0</v>
      </c>
      <c r="R493" s="237">
        <f t="shared" si="331"/>
        <v>0</v>
      </c>
      <c r="S493" s="252">
        <f t="shared" si="340"/>
        <v>0</v>
      </c>
      <c r="T493" s="124">
        <v>0</v>
      </c>
      <c r="U493" s="237">
        <v>0</v>
      </c>
      <c r="V493" s="252">
        <f t="shared" si="341"/>
        <v>0</v>
      </c>
      <c r="W493" s="124">
        <f t="shared" si="332"/>
        <v>0</v>
      </c>
      <c r="X493" s="237">
        <f t="shared" si="333"/>
        <v>0</v>
      </c>
      <c r="Y493" s="252">
        <f t="shared" si="342"/>
        <v>0</v>
      </c>
      <c r="Z493" s="124">
        <v>0</v>
      </c>
      <c r="AA493" s="237">
        <v>0</v>
      </c>
      <c r="AB493" s="252">
        <f t="shared" si="343"/>
        <v>0</v>
      </c>
      <c r="AC493" s="124">
        <f t="shared" si="334"/>
        <v>0</v>
      </c>
      <c r="AD493" s="237">
        <f t="shared" si="335"/>
        <v>0</v>
      </c>
      <c r="AF493" s="46">
        <f t="shared" si="327"/>
        <v>0</v>
      </c>
      <c r="AG493" s="46"/>
    </row>
    <row r="494" spans="1:33" ht="12.75">
      <c r="A494" s="354"/>
      <c r="B494" s="108"/>
      <c r="C494" s="90" t="s">
        <v>287</v>
      </c>
      <c r="D494" s="91">
        <v>130650</v>
      </c>
      <c r="E494" s="118">
        <v>130650</v>
      </c>
      <c r="F494" s="186">
        <v>0</v>
      </c>
      <c r="G494" s="91">
        <f t="shared" si="336"/>
        <v>0</v>
      </c>
      <c r="H494" s="118">
        <f>H495</f>
        <v>0</v>
      </c>
      <c r="I494" s="186">
        <v>0</v>
      </c>
      <c r="J494" s="91">
        <f t="shared" si="337"/>
        <v>130650</v>
      </c>
      <c r="K494" s="118">
        <f t="shared" si="328"/>
        <v>130650</v>
      </c>
      <c r="L494" s="186">
        <f t="shared" si="329"/>
        <v>0</v>
      </c>
      <c r="M494" s="91">
        <f t="shared" si="338"/>
        <v>0</v>
      </c>
      <c r="N494" s="118">
        <f>N495</f>
        <v>0</v>
      </c>
      <c r="O494" s="186">
        <v>0</v>
      </c>
      <c r="P494" s="91">
        <f t="shared" si="339"/>
        <v>130650</v>
      </c>
      <c r="Q494" s="118">
        <f t="shared" si="330"/>
        <v>130650</v>
      </c>
      <c r="R494" s="186">
        <f t="shared" si="331"/>
        <v>0</v>
      </c>
      <c r="S494" s="91">
        <f t="shared" si="340"/>
        <v>0</v>
      </c>
      <c r="T494" s="118">
        <f>T495</f>
        <v>0</v>
      </c>
      <c r="U494" s="186">
        <v>0</v>
      </c>
      <c r="V494" s="91">
        <f t="shared" si="341"/>
        <v>130650</v>
      </c>
      <c r="W494" s="118">
        <f t="shared" si="332"/>
        <v>130650</v>
      </c>
      <c r="X494" s="186">
        <f t="shared" si="333"/>
        <v>0</v>
      </c>
      <c r="Y494" s="91">
        <f t="shared" si="342"/>
        <v>0</v>
      </c>
      <c r="Z494" s="118">
        <f>Z495</f>
        <v>0</v>
      </c>
      <c r="AA494" s="186">
        <v>0</v>
      </c>
      <c r="AB494" s="91">
        <f t="shared" si="343"/>
        <v>130650</v>
      </c>
      <c r="AC494" s="118">
        <f t="shared" si="334"/>
        <v>130650</v>
      </c>
      <c r="AD494" s="186">
        <f t="shared" si="335"/>
        <v>0</v>
      </c>
      <c r="AF494" s="46">
        <f t="shared" si="327"/>
        <v>0</v>
      </c>
      <c r="AG494" s="46"/>
    </row>
    <row r="495" spans="1:33" s="380" customFormat="1" ht="12.75">
      <c r="A495" s="375"/>
      <c r="B495" s="126"/>
      <c r="C495" s="96" t="s">
        <v>42</v>
      </c>
      <c r="D495" s="97">
        <v>130650</v>
      </c>
      <c r="E495" s="111">
        <v>130650</v>
      </c>
      <c r="F495" s="220">
        <v>0</v>
      </c>
      <c r="G495" s="97">
        <f t="shared" si="336"/>
        <v>0</v>
      </c>
      <c r="H495" s="111"/>
      <c r="I495" s="220">
        <v>0</v>
      </c>
      <c r="J495" s="97">
        <f t="shared" si="337"/>
        <v>130650</v>
      </c>
      <c r="K495" s="111">
        <f t="shared" si="328"/>
        <v>130650</v>
      </c>
      <c r="L495" s="220">
        <f t="shared" si="329"/>
        <v>0</v>
      </c>
      <c r="M495" s="97">
        <f t="shared" si="338"/>
        <v>0</v>
      </c>
      <c r="N495" s="111"/>
      <c r="O495" s="220">
        <v>0</v>
      </c>
      <c r="P495" s="97">
        <f t="shared" si="339"/>
        <v>130650</v>
      </c>
      <c r="Q495" s="111">
        <f t="shared" si="330"/>
        <v>130650</v>
      </c>
      <c r="R495" s="220">
        <f t="shared" si="331"/>
        <v>0</v>
      </c>
      <c r="S495" s="97">
        <f t="shared" si="340"/>
        <v>0</v>
      </c>
      <c r="T495" s="111"/>
      <c r="U495" s="220">
        <v>0</v>
      </c>
      <c r="V495" s="97">
        <f t="shared" si="341"/>
        <v>130650</v>
      </c>
      <c r="W495" s="111">
        <f t="shared" si="332"/>
        <v>130650</v>
      </c>
      <c r="X495" s="220">
        <f t="shared" si="333"/>
        <v>0</v>
      </c>
      <c r="Y495" s="97">
        <f t="shared" si="342"/>
        <v>0</v>
      </c>
      <c r="Z495" s="111"/>
      <c r="AA495" s="220"/>
      <c r="AB495" s="97">
        <f t="shared" si="343"/>
        <v>130650</v>
      </c>
      <c r="AC495" s="111">
        <f t="shared" si="334"/>
        <v>130650</v>
      </c>
      <c r="AD495" s="220">
        <f t="shared" si="335"/>
        <v>0</v>
      </c>
      <c r="AF495" s="46">
        <f t="shared" si="327"/>
        <v>0</v>
      </c>
      <c r="AG495" s="46"/>
    </row>
    <row r="496" spans="1:33" ht="12.75">
      <c r="A496" s="354"/>
      <c r="B496" s="133">
        <v>854</v>
      </c>
      <c r="C496" s="134" t="s">
        <v>169</v>
      </c>
      <c r="D496" s="75">
        <v>26476992</v>
      </c>
      <c r="E496" s="76">
        <v>24072823</v>
      </c>
      <c r="F496" s="171">
        <v>2404169</v>
      </c>
      <c r="G496" s="75">
        <f t="shared" si="336"/>
        <v>358100</v>
      </c>
      <c r="H496" s="76">
        <f>H497+H499+H506+H510+H512+H515+H519+H522+H504</f>
        <v>8100</v>
      </c>
      <c r="I496" s="171">
        <f>I497+I499+I506+I510+I512+I515+I519+I522+I504</f>
        <v>350000</v>
      </c>
      <c r="J496" s="75">
        <f t="shared" si="337"/>
        <v>26835092</v>
      </c>
      <c r="K496" s="76">
        <f>K497+K499+K506+K510+K512+K515+K519+K522+K504</f>
        <v>24080923</v>
      </c>
      <c r="L496" s="171">
        <f>L497+L499+L506+L510+L512+L515+L519+L522+L504</f>
        <v>2754169</v>
      </c>
      <c r="M496" s="75">
        <f t="shared" si="338"/>
        <v>0</v>
      </c>
      <c r="N496" s="76">
        <f>N497+N499+N506+N510+N512+N515+N519+N522+N504</f>
        <v>0</v>
      </c>
      <c r="O496" s="171">
        <f>O497+O499+O506+O510+O512+O515+O519+O522+O504</f>
        <v>0</v>
      </c>
      <c r="P496" s="75">
        <f t="shared" si="339"/>
        <v>26835092</v>
      </c>
      <c r="Q496" s="76">
        <f>Q497+Q499+Q506+Q510+Q512+Q515+Q519+Q522+Q504</f>
        <v>24080923</v>
      </c>
      <c r="R496" s="171">
        <f>R497+R499+R506+R510+R512+R515+R519+R522+R504</f>
        <v>2754169</v>
      </c>
      <c r="S496" s="75">
        <f t="shared" si="340"/>
        <v>1419465</v>
      </c>
      <c r="T496" s="76">
        <f>T497+T499+T506+T510+T512+T515+T519+T522+T504</f>
        <v>1419465</v>
      </c>
      <c r="U496" s="171">
        <f>U497+U499+U506+U510+U512+U515+U519+U522+U504</f>
        <v>0</v>
      </c>
      <c r="V496" s="75">
        <f t="shared" si="341"/>
        <v>28254557</v>
      </c>
      <c r="W496" s="76">
        <f>W497+W499+W506+W510+W512+W515+W519+W522+W504</f>
        <v>25500388</v>
      </c>
      <c r="X496" s="171">
        <f>X497+X499+X506+X510+X512+X515+X519+X522+X504</f>
        <v>2754169</v>
      </c>
      <c r="Y496" s="75">
        <f t="shared" si="342"/>
        <v>-89932</v>
      </c>
      <c r="Z496" s="76">
        <f>Z497+Z499+Z506+Z510+Z512+Z515+Z519+Z522+Z504</f>
        <v>-89932</v>
      </c>
      <c r="AA496" s="171">
        <f>AA497+AA499+AA506+AA510+AA512+AA515+AA519+AA522+AA504</f>
        <v>0</v>
      </c>
      <c r="AB496" s="75">
        <f t="shared" si="343"/>
        <v>28164625</v>
      </c>
      <c r="AC496" s="76">
        <f>AC497+AC499+AC506+AC510+AC512+AC515+AC519+AC522+AC504</f>
        <v>25410456</v>
      </c>
      <c r="AD496" s="171">
        <f>AD497+AD499+AD506+AD510+AD512+AD515+AD519+AD522+AD504</f>
        <v>2754169</v>
      </c>
      <c r="AF496" s="46">
        <f t="shared" si="327"/>
        <v>0</v>
      </c>
      <c r="AG496" s="46"/>
    </row>
    <row r="497" spans="1:33" ht="12.75">
      <c r="A497" s="354"/>
      <c r="B497" s="106">
        <v>85401</v>
      </c>
      <c r="C497" s="83" t="s">
        <v>170</v>
      </c>
      <c r="D497" s="80">
        <v>1168560</v>
      </c>
      <c r="E497" s="81">
        <v>1168560</v>
      </c>
      <c r="F497" s="82">
        <v>0</v>
      </c>
      <c r="G497" s="80">
        <f t="shared" si="336"/>
        <v>0</v>
      </c>
      <c r="H497" s="81">
        <f>H498</f>
        <v>0</v>
      </c>
      <c r="I497" s="82">
        <f>I498</f>
        <v>0</v>
      </c>
      <c r="J497" s="80">
        <f t="shared" si="337"/>
        <v>1168560</v>
      </c>
      <c r="K497" s="81">
        <f aca="true" t="shared" si="344" ref="K497:K522">E497+H497</f>
        <v>1168560</v>
      </c>
      <c r="L497" s="82">
        <f aca="true" t="shared" si="345" ref="L497:L522">I497+F497</f>
        <v>0</v>
      </c>
      <c r="M497" s="80">
        <f t="shared" si="338"/>
        <v>0</v>
      </c>
      <c r="N497" s="81">
        <f>N498</f>
        <v>0</v>
      </c>
      <c r="O497" s="82">
        <f>O498</f>
        <v>0</v>
      </c>
      <c r="P497" s="80">
        <f t="shared" si="339"/>
        <v>1168560</v>
      </c>
      <c r="Q497" s="81">
        <f aca="true" t="shared" si="346" ref="Q497:Q522">K497+N497</f>
        <v>1168560</v>
      </c>
      <c r="R497" s="82">
        <f aca="true" t="shared" si="347" ref="R497:R522">O497+L497</f>
        <v>0</v>
      </c>
      <c r="S497" s="80">
        <f t="shared" si="340"/>
        <v>114264</v>
      </c>
      <c r="T497" s="81">
        <f>T498</f>
        <v>114264</v>
      </c>
      <c r="U497" s="82">
        <f>U498</f>
        <v>0</v>
      </c>
      <c r="V497" s="80">
        <f t="shared" si="341"/>
        <v>1282824</v>
      </c>
      <c r="W497" s="81">
        <f aca="true" t="shared" si="348" ref="W497:W522">Q497+T497</f>
        <v>1282824</v>
      </c>
      <c r="X497" s="82">
        <f aca="true" t="shared" si="349" ref="X497:X522">U497+R497</f>
        <v>0</v>
      </c>
      <c r="Y497" s="80">
        <f t="shared" si="342"/>
        <v>9621</v>
      </c>
      <c r="Z497" s="81">
        <f>Z498</f>
        <v>9621</v>
      </c>
      <c r="AA497" s="82">
        <f>AA498</f>
        <v>0</v>
      </c>
      <c r="AB497" s="80">
        <f t="shared" si="343"/>
        <v>1292445</v>
      </c>
      <c r="AC497" s="81">
        <f aca="true" t="shared" si="350" ref="AC497:AC522">W497+Z497</f>
        <v>1292445</v>
      </c>
      <c r="AD497" s="82">
        <f aca="true" t="shared" si="351" ref="AD497:AD522">AA497+X497</f>
        <v>0</v>
      </c>
      <c r="AF497" s="46">
        <f t="shared" si="327"/>
        <v>0</v>
      </c>
      <c r="AG497" s="46"/>
    </row>
    <row r="498" spans="1:33" ht="12.75">
      <c r="A498" s="354"/>
      <c r="B498" s="106"/>
      <c r="C498" s="83" t="s">
        <v>115</v>
      </c>
      <c r="D498" s="80">
        <v>1168560</v>
      </c>
      <c r="E498" s="138">
        <v>1168560</v>
      </c>
      <c r="F498" s="190">
        <v>0</v>
      </c>
      <c r="G498" s="80">
        <f t="shared" si="336"/>
        <v>0</v>
      </c>
      <c r="H498" s="138"/>
      <c r="I498" s="190">
        <v>0</v>
      </c>
      <c r="J498" s="80">
        <f t="shared" si="337"/>
        <v>1168560</v>
      </c>
      <c r="K498" s="138">
        <f t="shared" si="344"/>
        <v>1168560</v>
      </c>
      <c r="L498" s="190">
        <f t="shared" si="345"/>
        <v>0</v>
      </c>
      <c r="M498" s="80">
        <f t="shared" si="338"/>
        <v>0</v>
      </c>
      <c r="N498" s="138"/>
      <c r="O498" s="190">
        <v>0</v>
      </c>
      <c r="P498" s="80">
        <f t="shared" si="339"/>
        <v>1168560</v>
      </c>
      <c r="Q498" s="138">
        <f t="shared" si="346"/>
        <v>1168560</v>
      </c>
      <c r="R498" s="190">
        <f t="shared" si="347"/>
        <v>0</v>
      </c>
      <c r="S498" s="80">
        <f t="shared" si="340"/>
        <v>114264</v>
      </c>
      <c r="T498" s="138">
        <v>114264</v>
      </c>
      <c r="U498" s="190">
        <v>0</v>
      </c>
      <c r="V498" s="80">
        <f t="shared" si="341"/>
        <v>1282824</v>
      </c>
      <c r="W498" s="138">
        <f t="shared" si="348"/>
        <v>1282824</v>
      </c>
      <c r="X498" s="190">
        <f t="shared" si="349"/>
        <v>0</v>
      </c>
      <c r="Y498" s="80">
        <f t="shared" si="342"/>
        <v>9621</v>
      </c>
      <c r="Z498" s="138">
        <v>9621</v>
      </c>
      <c r="AA498" s="190"/>
      <c r="AB498" s="80">
        <f t="shared" si="343"/>
        <v>1292445</v>
      </c>
      <c r="AC498" s="138">
        <f t="shared" si="350"/>
        <v>1292445</v>
      </c>
      <c r="AD498" s="190">
        <f t="shared" si="351"/>
        <v>0</v>
      </c>
      <c r="AF498" s="46">
        <f t="shared" si="327"/>
        <v>0</v>
      </c>
      <c r="AG498" s="46"/>
    </row>
    <row r="499" spans="1:33" ht="12.75">
      <c r="A499" s="354"/>
      <c r="B499" s="106">
        <v>85403</v>
      </c>
      <c r="C499" s="83" t="s">
        <v>288</v>
      </c>
      <c r="D499" s="80">
        <v>9449594</v>
      </c>
      <c r="E499" s="81">
        <v>8675425</v>
      </c>
      <c r="F499" s="82">
        <v>774169</v>
      </c>
      <c r="G499" s="80">
        <f t="shared" si="336"/>
        <v>0</v>
      </c>
      <c r="H499" s="81">
        <f>H500+H503</f>
        <v>0</v>
      </c>
      <c r="I499" s="82">
        <f>I500+I503</f>
        <v>0</v>
      </c>
      <c r="J499" s="80">
        <f t="shared" si="337"/>
        <v>9449594</v>
      </c>
      <c r="K499" s="81">
        <f t="shared" si="344"/>
        <v>8675425</v>
      </c>
      <c r="L499" s="82">
        <f t="shared" si="345"/>
        <v>774169</v>
      </c>
      <c r="M499" s="80">
        <f t="shared" si="338"/>
        <v>0</v>
      </c>
      <c r="N499" s="81">
        <f>N500+N503</f>
        <v>0</v>
      </c>
      <c r="O499" s="82">
        <f>O500+O503</f>
        <v>0</v>
      </c>
      <c r="P499" s="80">
        <f t="shared" si="339"/>
        <v>9449594</v>
      </c>
      <c r="Q499" s="81">
        <f t="shared" si="346"/>
        <v>8675425</v>
      </c>
      <c r="R499" s="82">
        <f t="shared" si="347"/>
        <v>774169</v>
      </c>
      <c r="S499" s="80">
        <f t="shared" si="340"/>
        <v>400759</v>
      </c>
      <c r="T499" s="81">
        <f>T500+T503</f>
        <v>400759</v>
      </c>
      <c r="U499" s="82">
        <f>U500+U503</f>
        <v>0</v>
      </c>
      <c r="V499" s="80">
        <f t="shared" si="341"/>
        <v>9850353</v>
      </c>
      <c r="W499" s="81">
        <f t="shared" si="348"/>
        <v>9076184</v>
      </c>
      <c r="X499" s="82">
        <f t="shared" si="349"/>
        <v>774169</v>
      </c>
      <c r="Y499" s="80">
        <f t="shared" si="342"/>
        <v>-106036</v>
      </c>
      <c r="Z499" s="81">
        <f>Z500+Z503</f>
        <v>-106036</v>
      </c>
      <c r="AA499" s="82">
        <f>AA500+AA503</f>
        <v>0</v>
      </c>
      <c r="AB499" s="80">
        <f t="shared" si="343"/>
        <v>9744317</v>
      </c>
      <c r="AC499" s="81">
        <f t="shared" si="350"/>
        <v>8970148</v>
      </c>
      <c r="AD499" s="82">
        <f t="shared" si="351"/>
        <v>774169</v>
      </c>
      <c r="AF499" s="46">
        <f t="shared" si="327"/>
        <v>0</v>
      </c>
      <c r="AG499" s="46"/>
    </row>
    <row r="500" spans="1:33" ht="12.75">
      <c r="A500" s="354"/>
      <c r="B500" s="130"/>
      <c r="C500" s="85" t="s">
        <v>115</v>
      </c>
      <c r="D500" s="88">
        <v>6774394</v>
      </c>
      <c r="E500" s="86">
        <v>6000225</v>
      </c>
      <c r="F500" s="161">
        <v>774169</v>
      </c>
      <c r="G500" s="88">
        <f t="shared" si="336"/>
        <v>0</v>
      </c>
      <c r="H500" s="86"/>
      <c r="I500" s="161"/>
      <c r="J500" s="88">
        <f t="shared" si="337"/>
        <v>6774394</v>
      </c>
      <c r="K500" s="86">
        <f t="shared" si="344"/>
        <v>6000225</v>
      </c>
      <c r="L500" s="161">
        <f t="shared" si="345"/>
        <v>774169</v>
      </c>
      <c r="M500" s="88">
        <f t="shared" si="338"/>
        <v>0</v>
      </c>
      <c r="N500" s="86"/>
      <c r="O500" s="161"/>
      <c r="P500" s="88">
        <f t="shared" si="339"/>
        <v>6774394</v>
      </c>
      <c r="Q500" s="86">
        <f t="shared" si="346"/>
        <v>6000225</v>
      </c>
      <c r="R500" s="161">
        <f t="shared" si="347"/>
        <v>774169</v>
      </c>
      <c r="S500" s="88">
        <f t="shared" si="340"/>
        <v>306889</v>
      </c>
      <c r="T500" s="86">
        <v>306889</v>
      </c>
      <c r="U500" s="161"/>
      <c r="V500" s="88">
        <f t="shared" si="341"/>
        <v>7081283</v>
      </c>
      <c r="W500" s="86">
        <f t="shared" si="348"/>
        <v>6307114</v>
      </c>
      <c r="X500" s="161">
        <f t="shared" si="349"/>
        <v>774169</v>
      </c>
      <c r="Y500" s="88">
        <f t="shared" si="342"/>
        <v>-106036</v>
      </c>
      <c r="Z500" s="86">
        <v>-106036</v>
      </c>
      <c r="AA500" s="161"/>
      <c r="AB500" s="88">
        <f t="shared" si="343"/>
        <v>6975247</v>
      </c>
      <c r="AC500" s="86">
        <f t="shared" si="350"/>
        <v>6201078</v>
      </c>
      <c r="AD500" s="161">
        <f t="shared" si="351"/>
        <v>774169</v>
      </c>
      <c r="AF500" s="46">
        <f t="shared" si="327"/>
        <v>0</v>
      </c>
      <c r="AG500" s="46"/>
    </row>
    <row r="501" spans="1:33" s="100" customFormat="1" ht="12.75" hidden="1">
      <c r="A501" s="366"/>
      <c r="B501" s="109"/>
      <c r="C501" s="122" t="s">
        <v>42</v>
      </c>
      <c r="D501" s="252">
        <v>0</v>
      </c>
      <c r="E501" s="124">
        <v>0</v>
      </c>
      <c r="F501" s="237">
        <v>0</v>
      </c>
      <c r="G501" s="252">
        <f t="shared" si="336"/>
        <v>0</v>
      </c>
      <c r="H501" s="124"/>
      <c r="I501" s="237">
        <v>0</v>
      </c>
      <c r="J501" s="252">
        <f t="shared" si="337"/>
        <v>0</v>
      </c>
      <c r="K501" s="124">
        <f t="shared" si="344"/>
        <v>0</v>
      </c>
      <c r="L501" s="237">
        <f t="shared" si="345"/>
        <v>0</v>
      </c>
      <c r="M501" s="252">
        <f t="shared" si="338"/>
        <v>0</v>
      </c>
      <c r="N501" s="124"/>
      <c r="O501" s="237">
        <v>0</v>
      </c>
      <c r="P501" s="252">
        <f t="shared" si="339"/>
        <v>0</v>
      </c>
      <c r="Q501" s="124">
        <f t="shared" si="346"/>
        <v>0</v>
      </c>
      <c r="R501" s="237">
        <f t="shared" si="347"/>
        <v>0</v>
      </c>
      <c r="S501" s="252">
        <f t="shared" si="340"/>
        <v>0</v>
      </c>
      <c r="T501" s="124"/>
      <c r="U501" s="237">
        <v>0</v>
      </c>
      <c r="V501" s="252">
        <f t="shared" si="341"/>
        <v>0</v>
      </c>
      <c r="W501" s="124">
        <f t="shared" si="348"/>
        <v>0</v>
      </c>
      <c r="X501" s="237">
        <f t="shared" si="349"/>
        <v>0</v>
      </c>
      <c r="Y501" s="252">
        <f t="shared" si="342"/>
        <v>0</v>
      </c>
      <c r="Z501" s="124"/>
      <c r="AA501" s="237">
        <v>0</v>
      </c>
      <c r="AB501" s="252">
        <f t="shared" si="343"/>
        <v>0</v>
      </c>
      <c r="AC501" s="124">
        <f t="shared" si="350"/>
        <v>0</v>
      </c>
      <c r="AD501" s="237">
        <f t="shared" si="351"/>
        <v>0</v>
      </c>
      <c r="AF501" s="46">
        <f t="shared" si="327"/>
        <v>0</v>
      </c>
      <c r="AG501" s="46"/>
    </row>
    <row r="502" spans="1:33" s="100" customFormat="1" ht="12.75" hidden="1">
      <c r="A502" s="366"/>
      <c r="B502" s="109"/>
      <c r="C502" s="122" t="s">
        <v>289</v>
      </c>
      <c r="D502" s="252">
        <v>0</v>
      </c>
      <c r="E502" s="124">
        <v>0</v>
      </c>
      <c r="F502" s="237">
        <v>0</v>
      </c>
      <c r="G502" s="252">
        <f t="shared" si="336"/>
        <v>0</v>
      </c>
      <c r="H502" s="124"/>
      <c r="I502" s="237">
        <v>0</v>
      </c>
      <c r="J502" s="252">
        <f t="shared" si="337"/>
        <v>0</v>
      </c>
      <c r="K502" s="124">
        <f t="shared" si="344"/>
        <v>0</v>
      </c>
      <c r="L502" s="237">
        <f t="shared" si="345"/>
        <v>0</v>
      </c>
      <c r="M502" s="252">
        <f t="shared" si="338"/>
        <v>0</v>
      </c>
      <c r="N502" s="124"/>
      <c r="O502" s="237">
        <v>0</v>
      </c>
      <c r="P502" s="252">
        <f t="shared" si="339"/>
        <v>0</v>
      </c>
      <c r="Q502" s="124">
        <f t="shared" si="346"/>
        <v>0</v>
      </c>
      <c r="R502" s="237">
        <f t="shared" si="347"/>
        <v>0</v>
      </c>
      <c r="S502" s="252">
        <f t="shared" si="340"/>
        <v>0</v>
      </c>
      <c r="T502" s="124"/>
      <c r="U502" s="237">
        <v>0</v>
      </c>
      <c r="V502" s="252">
        <f t="shared" si="341"/>
        <v>0</v>
      </c>
      <c r="W502" s="124">
        <f t="shared" si="348"/>
        <v>0</v>
      </c>
      <c r="X502" s="237">
        <f t="shared" si="349"/>
        <v>0</v>
      </c>
      <c r="Y502" s="252">
        <f t="shared" si="342"/>
        <v>0</v>
      </c>
      <c r="Z502" s="124"/>
      <c r="AA502" s="237">
        <v>0</v>
      </c>
      <c r="AB502" s="252">
        <f t="shared" si="343"/>
        <v>0</v>
      </c>
      <c r="AC502" s="124">
        <f t="shared" si="350"/>
        <v>0</v>
      </c>
      <c r="AD502" s="237">
        <f t="shared" si="351"/>
        <v>0</v>
      </c>
      <c r="AF502" s="46">
        <f t="shared" si="327"/>
        <v>0</v>
      </c>
      <c r="AG502" s="46"/>
    </row>
    <row r="503" spans="1:33" ht="12.75">
      <c r="A503" s="354"/>
      <c r="B503" s="140"/>
      <c r="C503" s="129" t="s">
        <v>117</v>
      </c>
      <c r="D503" s="112">
        <v>2675200</v>
      </c>
      <c r="E503" s="113">
        <v>2675200</v>
      </c>
      <c r="F503" s="128">
        <v>0</v>
      </c>
      <c r="G503" s="112">
        <f t="shared" si="336"/>
        <v>0</v>
      </c>
      <c r="H503" s="113"/>
      <c r="I503" s="128">
        <v>0</v>
      </c>
      <c r="J503" s="112">
        <f t="shared" si="337"/>
        <v>2675200</v>
      </c>
      <c r="K503" s="113">
        <f t="shared" si="344"/>
        <v>2675200</v>
      </c>
      <c r="L503" s="128">
        <f t="shared" si="345"/>
        <v>0</v>
      </c>
      <c r="M503" s="112">
        <f t="shared" si="338"/>
        <v>0</v>
      </c>
      <c r="N503" s="113"/>
      <c r="O503" s="128">
        <v>0</v>
      </c>
      <c r="P503" s="112">
        <f t="shared" si="339"/>
        <v>2675200</v>
      </c>
      <c r="Q503" s="113">
        <f t="shared" si="346"/>
        <v>2675200</v>
      </c>
      <c r="R503" s="128">
        <f t="shared" si="347"/>
        <v>0</v>
      </c>
      <c r="S503" s="112">
        <f t="shared" si="340"/>
        <v>93870</v>
      </c>
      <c r="T503" s="113">
        <f>93870</f>
        <v>93870</v>
      </c>
      <c r="U503" s="128">
        <v>0</v>
      </c>
      <c r="V503" s="112">
        <f t="shared" si="341"/>
        <v>2769070</v>
      </c>
      <c r="W503" s="113">
        <f t="shared" si="348"/>
        <v>2769070</v>
      </c>
      <c r="X503" s="128">
        <f t="shared" si="349"/>
        <v>0</v>
      </c>
      <c r="Y503" s="112">
        <f t="shared" si="342"/>
        <v>0</v>
      </c>
      <c r="Z503" s="113"/>
      <c r="AA503" s="128"/>
      <c r="AB503" s="112">
        <f t="shared" si="343"/>
        <v>2769070</v>
      </c>
      <c r="AC503" s="113">
        <f t="shared" si="350"/>
        <v>2769070</v>
      </c>
      <c r="AD503" s="128">
        <f t="shared" si="351"/>
        <v>0</v>
      </c>
      <c r="AF503" s="46">
        <f t="shared" si="327"/>
        <v>0</v>
      </c>
      <c r="AG503" s="46"/>
    </row>
    <row r="504" spans="1:33" s="100" customFormat="1" ht="12.75">
      <c r="A504" s="354"/>
      <c r="B504" s="106">
        <v>85404</v>
      </c>
      <c r="C504" s="83" t="s">
        <v>171</v>
      </c>
      <c r="D504" s="80">
        <v>245642</v>
      </c>
      <c r="E504" s="138">
        <v>245642</v>
      </c>
      <c r="F504" s="82">
        <v>0</v>
      </c>
      <c r="G504" s="80">
        <f t="shared" si="336"/>
        <v>0</v>
      </c>
      <c r="H504" s="138">
        <f>H505</f>
        <v>0</v>
      </c>
      <c r="I504" s="82">
        <f>I505</f>
        <v>0</v>
      </c>
      <c r="J504" s="80">
        <f t="shared" si="337"/>
        <v>245642</v>
      </c>
      <c r="K504" s="138">
        <f t="shared" si="344"/>
        <v>245642</v>
      </c>
      <c r="L504" s="82">
        <f t="shared" si="345"/>
        <v>0</v>
      </c>
      <c r="M504" s="80">
        <f t="shared" si="338"/>
        <v>0</v>
      </c>
      <c r="N504" s="138">
        <f>N505</f>
        <v>0</v>
      </c>
      <c r="O504" s="82">
        <f>O505</f>
        <v>0</v>
      </c>
      <c r="P504" s="80">
        <f t="shared" si="339"/>
        <v>245642</v>
      </c>
      <c r="Q504" s="138">
        <f t="shared" si="346"/>
        <v>245642</v>
      </c>
      <c r="R504" s="82">
        <f t="shared" si="347"/>
        <v>0</v>
      </c>
      <c r="S504" s="80">
        <f t="shared" si="340"/>
        <v>7256</v>
      </c>
      <c r="T504" s="138">
        <f>T505</f>
        <v>7256</v>
      </c>
      <c r="U504" s="82">
        <f>U505</f>
        <v>0</v>
      </c>
      <c r="V504" s="80">
        <f t="shared" si="341"/>
        <v>252898</v>
      </c>
      <c r="W504" s="138">
        <f t="shared" si="348"/>
        <v>252898</v>
      </c>
      <c r="X504" s="82">
        <f t="shared" si="349"/>
        <v>0</v>
      </c>
      <c r="Y504" s="80">
        <f t="shared" si="342"/>
        <v>-23517</v>
      </c>
      <c r="Z504" s="138">
        <f>Z505</f>
        <v>-23517</v>
      </c>
      <c r="AA504" s="82">
        <f>AA505</f>
        <v>0</v>
      </c>
      <c r="AB504" s="80">
        <f t="shared" si="343"/>
        <v>229381</v>
      </c>
      <c r="AC504" s="138">
        <f t="shared" si="350"/>
        <v>229381</v>
      </c>
      <c r="AD504" s="82">
        <f t="shared" si="351"/>
        <v>0</v>
      </c>
      <c r="AF504" s="46">
        <f t="shared" si="327"/>
        <v>0</v>
      </c>
      <c r="AG504" s="46"/>
    </row>
    <row r="505" spans="1:33" s="100" customFormat="1" ht="12.75">
      <c r="A505" s="354"/>
      <c r="B505" s="106"/>
      <c r="C505" s="83" t="s">
        <v>115</v>
      </c>
      <c r="D505" s="80">
        <v>245642</v>
      </c>
      <c r="E505" s="138">
        <v>245642</v>
      </c>
      <c r="F505" s="82">
        <v>0</v>
      </c>
      <c r="G505" s="80">
        <f t="shared" si="336"/>
        <v>0</v>
      </c>
      <c r="H505" s="138"/>
      <c r="I505" s="82">
        <v>0</v>
      </c>
      <c r="J505" s="80">
        <f t="shared" si="337"/>
        <v>245642</v>
      </c>
      <c r="K505" s="138">
        <f t="shared" si="344"/>
        <v>245642</v>
      </c>
      <c r="L505" s="82">
        <f t="shared" si="345"/>
        <v>0</v>
      </c>
      <c r="M505" s="80">
        <f t="shared" si="338"/>
        <v>0</v>
      </c>
      <c r="N505" s="138"/>
      <c r="O505" s="82">
        <v>0</v>
      </c>
      <c r="P505" s="80">
        <f t="shared" si="339"/>
        <v>245642</v>
      </c>
      <c r="Q505" s="138">
        <f t="shared" si="346"/>
        <v>245642</v>
      </c>
      <c r="R505" s="82">
        <f t="shared" si="347"/>
        <v>0</v>
      </c>
      <c r="S505" s="80">
        <f t="shared" si="340"/>
        <v>7256</v>
      </c>
      <c r="T505" s="138">
        <v>7256</v>
      </c>
      <c r="U505" s="82">
        <v>0</v>
      </c>
      <c r="V505" s="80">
        <f t="shared" si="341"/>
        <v>252898</v>
      </c>
      <c r="W505" s="138">
        <f t="shared" si="348"/>
        <v>252898</v>
      </c>
      <c r="X505" s="82">
        <f t="shared" si="349"/>
        <v>0</v>
      </c>
      <c r="Y505" s="80">
        <f t="shared" si="342"/>
        <v>-23517</v>
      </c>
      <c r="Z505" s="138">
        <v>-23517</v>
      </c>
      <c r="AA505" s="82"/>
      <c r="AB505" s="80">
        <f t="shared" si="343"/>
        <v>229381</v>
      </c>
      <c r="AC505" s="138">
        <f t="shared" si="350"/>
        <v>229381</v>
      </c>
      <c r="AD505" s="82">
        <f t="shared" si="351"/>
        <v>0</v>
      </c>
      <c r="AF505" s="46">
        <f t="shared" si="327"/>
        <v>0</v>
      </c>
      <c r="AG505" s="46"/>
    </row>
    <row r="506" spans="1:33" ht="12.75">
      <c r="A506" s="354"/>
      <c r="B506" s="106">
        <v>85406</v>
      </c>
      <c r="C506" s="83" t="s">
        <v>290</v>
      </c>
      <c r="D506" s="80">
        <v>5614328</v>
      </c>
      <c r="E506" s="81">
        <v>5614328</v>
      </c>
      <c r="F506" s="82">
        <v>0</v>
      </c>
      <c r="G506" s="80">
        <f t="shared" si="336"/>
        <v>8100</v>
      </c>
      <c r="H506" s="81">
        <f>H507</f>
        <v>8100</v>
      </c>
      <c r="I506" s="82">
        <v>0</v>
      </c>
      <c r="J506" s="80">
        <f t="shared" si="337"/>
        <v>5622428</v>
      </c>
      <c r="K506" s="81">
        <f t="shared" si="344"/>
        <v>5622428</v>
      </c>
      <c r="L506" s="82">
        <f t="shared" si="345"/>
        <v>0</v>
      </c>
      <c r="M506" s="80">
        <f t="shared" si="338"/>
        <v>0</v>
      </c>
      <c r="N506" s="81">
        <f>N507</f>
        <v>0</v>
      </c>
      <c r="O506" s="82">
        <v>0</v>
      </c>
      <c r="P506" s="80">
        <f t="shared" si="339"/>
        <v>5622428</v>
      </c>
      <c r="Q506" s="81">
        <f t="shared" si="346"/>
        <v>5622428</v>
      </c>
      <c r="R506" s="82">
        <f t="shared" si="347"/>
        <v>0</v>
      </c>
      <c r="S506" s="80">
        <f t="shared" si="340"/>
        <v>404012</v>
      </c>
      <c r="T506" s="81">
        <f>T507</f>
        <v>404012</v>
      </c>
      <c r="U506" s="82">
        <v>0</v>
      </c>
      <c r="V506" s="80">
        <f t="shared" si="341"/>
        <v>6026440</v>
      </c>
      <c r="W506" s="81">
        <f t="shared" si="348"/>
        <v>6026440</v>
      </c>
      <c r="X506" s="82">
        <f t="shared" si="349"/>
        <v>0</v>
      </c>
      <c r="Y506" s="80">
        <f t="shared" si="342"/>
        <v>30000</v>
      </c>
      <c r="Z506" s="81">
        <f>Z507</f>
        <v>30000</v>
      </c>
      <c r="AA506" s="82">
        <v>0</v>
      </c>
      <c r="AB506" s="80">
        <f t="shared" si="343"/>
        <v>6056440</v>
      </c>
      <c r="AC506" s="81">
        <f t="shared" si="350"/>
        <v>6056440</v>
      </c>
      <c r="AD506" s="82">
        <f t="shared" si="351"/>
        <v>0</v>
      </c>
      <c r="AF506" s="46">
        <f t="shared" si="327"/>
        <v>0</v>
      </c>
      <c r="AG506" s="46"/>
    </row>
    <row r="507" spans="1:33" ht="12.75">
      <c r="A507" s="354"/>
      <c r="B507" s="130"/>
      <c r="C507" s="85" t="s">
        <v>115</v>
      </c>
      <c r="D507" s="88">
        <v>5614328</v>
      </c>
      <c r="E507" s="86">
        <v>5614328</v>
      </c>
      <c r="F507" s="161">
        <v>0</v>
      </c>
      <c r="G507" s="88">
        <f t="shared" si="336"/>
        <v>8100</v>
      </c>
      <c r="H507" s="86">
        <f>H508</f>
        <v>8100</v>
      </c>
      <c r="I507" s="161">
        <v>0</v>
      </c>
      <c r="J507" s="88">
        <f t="shared" si="337"/>
        <v>5622428</v>
      </c>
      <c r="K507" s="86">
        <f t="shared" si="344"/>
        <v>5622428</v>
      </c>
      <c r="L507" s="161">
        <f t="shared" si="345"/>
        <v>0</v>
      </c>
      <c r="M507" s="88">
        <f t="shared" si="338"/>
        <v>0</v>
      </c>
      <c r="N507" s="86">
        <f>N508</f>
        <v>0</v>
      </c>
      <c r="O507" s="161">
        <v>0</v>
      </c>
      <c r="P507" s="88">
        <f t="shared" si="339"/>
        <v>5622428</v>
      </c>
      <c r="Q507" s="86">
        <f t="shared" si="346"/>
        <v>5622428</v>
      </c>
      <c r="R507" s="161">
        <f t="shared" si="347"/>
        <v>0</v>
      </c>
      <c r="S507" s="88">
        <f t="shared" si="340"/>
        <v>404012</v>
      </c>
      <c r="T507" s="86">
        <v>404012</v>
      </c>
      <c r="U507" s="161">
        <v>0</v>
      </c>
      <c r="V507" s="88">
        <f t="shared" si="341"/>
        <v>6026440</v>
      </c>
      <c r="W507" s="86">
        <f t="shared" si="348"/>
        <v>6026440</v>
      </c>
      <c r="X507" s="161">
        <f t="shared" si="349"/>
        <v>0</v>
      </c>
      <c r="Y507" s="88">
        <f t="shared" si="342"/>
        <v>30000</v>
      </c>
      <c r="Z507" s="86">
        <v>30000</v>
      </c>
      <c r="AA507" s="161"/>
      <c r="AB507" s="88">
        <f t="shared" si="343"/>
        <v>6056440</v>
      </c>
      <c r="AC507" s="86">
        <f t="shared" si="350"/>
        <v>6056440</v>
      </c>
      <c r="AD507" s="161">
        <f t="shared" si="351"/>
        <v>0</v>
      </c>
      <c r="AF507" s="46">
        <f t="shared" si="327"/>
        <v>0</v>
      </c>
      <c r="AG507" s="46"/>
    </row>
    <row r="508" spans="1:33" s="100" customFormat="1" ht="12.75">
      <c r="A508" s="366"/>
      <c r="B508" s="109"/>
      <c r="C508" s="122" t="s">
        <v>42</v>
      </c>
      <c r="D508" s="252">
        <v>247244</v>
      </c>
      <c r="E508" s="124">
        <v>247244</v>
      </c>
      <c r="F508" s="237">
        <v>0</v>
      </c>
      <c r="G508" s="252">
        <f t="shared" si="336"/>
        <v>8100</v>
      </c>
      <c r="H508" s="124">
        <v>8100</v>
      </c>
      <c r="I508" s="237">
        <v>0</v>
      </c>
      <c r="J508" s="252">
        <f t="shared" si="337"/>
        <v>255344</v>
      </c>
      <c r="K508" s="124">
        <f t="shared" si="344"/>
        <v>255344</v>
      </c>
      <c r="L508" s="237">
        <f t="shared" si="345"/>
        <v>0</v>
      </c>
      <c r="M508" s="252">
        <f t="shared" si="338"/>
        <v>0</v>
      </c>
      <c r="N508" s="124">
        <v>0</v>
      </c>
      <c r="O508" s="237">
        <v>0</v>
      </c>
      <c r="P508" s="252">
        <f t="shared" si="339"/>
        <v>255344</v>
      </c>
      <c r="Q508" s="124">
        <f t="shared" si="346"/>
        <v>255344</v>
      </c>
      <c r="R508" s="237">
        <f t="shared" si="347"/>
        <v>0</v>
      </c>
      <c r="S508" s="252">
        <f t="shared" si="340"/>
        <v>0</v>
      </c>
      <c r="T508" s="124">
        <v>0</v>
      </c>
      <c r="U508" s="237">
        <v>0</v>
      </c>
      <c r="V508" s="252">
        <f t="shared" si="341"/>
        <v>255344</v>
      </c>
      <c r="W508" s="124">
        <f t="shared" si="348"/>
        <v>255344</v>
      </c>
      <c r="X508" s="237">
        <f t="shared" si="349"/>
        <v>0</v>
      </c>
      <c r="Y508" s="252">
        <f t="shared" si="342"/>
        <v>0</v>
      </c>
      <c r="Z508" s="124"/>
      <c r="AA508" s="237"/>
      <c r="AB508" s="252">
        <f t="shared" si="343"/>
        <v>255344</v>
      </c>
      <c r="AC508" s="124">
        <f t="shared" si="350"/>
        <v>255344</v>
      </c>
      <c r="AD508" s="237">
        <f t="shared" si="351"/>
        <v>0</v>
      </c>
      <c r="AF508" s="46">
        <f t="shared" si="327"/>
        <v>0</v>
      </c>
      <c r="AG508" s="46"/>
    </row>
    <row r="509" spans="1:33" ht="12.75">
      <c r="A509" s="354"/>
      <c r="B509" s="126"/>
      <c r="C509" s="96" t="s">
        <v>39</v>
      </c>
      <c r="D509" s="97">
        <v>20000</v>
      </c>
      <c r="E509" s="111">
        <v>20000</v>
      </c>
      <c r="F509" s="220">
        <v>0</v>
      </c>
      <c r="G509" s="97">
        <f t="shared" si="336"/>
        <v>0</v>
      </c>
      <c r="H509" s="111"/>
      <c r="I509" s="220">
        <v>0</v>
      </c>
      <c r="J509" s="97">
        <f t="shared" si="337"/>
        <v>20000</v>
      </c>
      <c r="K509" s="111">
        <f t="shared" si="344"/>
        <v>20000</v>
      </c>
      <c r="L509" s="220">
        <f t="shared" si="345"/>
        <v>0</v>
      </c>
      <c r="M509" s="97">
        <f t="shared" si="338"/>
        <v>0</v>
      </c>
      <c r="N509" s="111"/>
      <c r="O509" s="220">
        <v>0</v>
      </c>
      <c r="P509" s="97">
        <f t="shared" si="339"/>
        <v>20000</v>
      </c>
      <c r="Q509" s="111">
        <f t="shared" si="346"/>
        <v>20000</v>
      </c>
      <c r="R509" s="220">
        <f t="shared" si="347"/>
        <v>0</v>
      </c>
      <c r="S509" s="97">
        <f t="shared" si="340"/>
        <v>0</v>
      </c>
      <c r="T509" s="111"/>
      <c r="U509" s="220">
        <v>0</v>
      </c>
      <c r="V509" s="97">
        <f t="shared" si="341"/>
        <v>20000</v>
      </c>
      <c r="W509" s="111">
        <f t="shared" si="348"/>
        <v>20000</v>
      </c>
      <c r="X509" s="220">
        <f t="shared" si="349"/>
        <v>0</v>
      </c>
      <c r="Y509" s="97">
        <f t="shared" si="342"/>
        <v>0</v>
      </c>
      <c r="Z509" s="111"/>
      <c r="AA509" s="220"/>
      <c r="AB509" s="97">
        <f t="shared" si="343"/>
        <v>20000</v>
      </c>
      <c r="AC509" s="111">
        <f t="shared" si="350"/>
        <v>20000</v>
      </c>
      <c r="AD509" s="220">
        <f t="shared" si="351"/>
        <v>0</v>
      </c>
      <c r="AF509" s="46">
        <f t="shared" si="327"/>
        <v>0</v>
      </c>
      <c r="AG509" s="46"/>
    </row>
    <row r="510" spans="1:33" ht="12.75">
      <c r="A510" s="354"/>
      <c r="B510" s="136">
        <v>85407</v>
      </c>
      <c r="C510" s="137" t="s">
        <v>291</v>
      </c>
      <c r="D510" s="80">
        <v>4830697</v>
      </c>
      <c r="E510" s="81">
        <v>3480697</v>
      </c>
      <c r="F510" s="82">
        <v>1350000</v>
      </c>
      <c r="G510" s="80">
        <f t="shared" si="336"/>
        <v>350000</v>
      </c>
      <c r="H510" s="81">
        <f>H511</f>
        <v>0</v>
      </c>
      <c r="I510" s="82">
        <f>I511</f>
        <v>350000</v>
      </c>
      <c r="J510" s="80">
        <f t="shared" si="337"/>
        <v>5180697</v>
      </c>
      <c r="K510" s="81">
        <f t="shared" si="344"/>
        <v>3480697</v>
      </c>
      <c r="L510" s="82">
        <f t="shared" si="345"/>
        <v>1700000</v>
      </c>
      <c r="M510" s="80">
        <f t="shared" si="338"/>
        <v>0</v>
      </c>
      <c r="N510" s="81">
        <f>N511</f>
        <v>0</v>
      </c>
      <c r="O510" s="82">
        <f>O511</f>
        <v>0</v>
      </c>
      <c r="P510" s="80">
        <f t="shared" si="339"/>
        <v>5180697</v>
      </c>
      <c r="Q510" s="81">
        <f t="shared" si="346"/>
        <v>3480697</v>
      </c>
      <c r="R510" s="82">
        <f t="shared" si="347"/>
        <v>1700000</v>
      </c>
      <c r="S510" s="80">
        <f t="shared" si="340"/>
        <v>211662</v>
      </c>
      <c r="T510" s="81">
        <f>T511</f>
        <v>211662</v>
      </c>
      <c r="U510" s="82">
        <f>U511</f>
        <v>0</v>
      </c>
      <c r="V510" s="80">
        <f t="shared" si="341"/>
        <v>5392359</v>
      </c>
      <c r="W510" s="81">
        <f t="shared" si="348"/>
        <v>3692359</v>
      </c>
      <c r="X510" s="82">
        <f t="shared" si="349"/>
        <v>1700000</v>
      </c>
      <c r="Y510" s="80">
        <f t="shared" si="342"/>
        <v>-54872</v>
      </c>
      <c r="Z510" s="81">
        <f>Z511</f>
        <v>-54872</v>
      </c>
      <c r="AA510" s="82">
        <f>AA511</f>
        <v>0</v>
      </c>
      <c r="AB510" s="80">
        <f t="shared" si="343"/>
        <v>5337487</v>
      </c>
      <c r="AC510" s="81">
        <f t="shared" si="350"/>
        <v>3637487</v>
      </c>
      <c r="AD510" s="82">
        <f t="shared" si="351"/>
        <v>1700000</v>
      </c>
      <c r="AF510" s="46">
        <f t="shared" si="327"/>
        <v>0</v>
      </c>
      <c r="AG510" s="46"/>
    </row>
    <row r="511" spans="1:33" ht="12.75">
      <c r="A511" s="354"/>
      <c r="B511" s="106"/>
      <c r="C511" s="83" t="s">
        <v>115</v>
      </c>
      <c r="D511" s="80">
        <v>4830697</v>
      </c>
      <c r="E511" s="81">
        <v>3480697</v>
      </c>
      <c r="F511" s="190">
        <v>1350000</v>
      </c>
      <c r="G511" s="80">
        <f t="shared" si="336"/>
        <v>350000</v>
      </c>
      <c r="H511" s="81"/>
      <c r="I511" s="190">
        <v>350000</v>
      </c>
      <c r="J511" s="80">
        <f t="shared" si="337"/>
        <v>5180697</v>
      </c>
      <c r="K511" s="81">
        <f t="shared" si="344"/>
        <v>3480697</v>
      </c>
      <c r="L511" s="190">
        <f t="shared" si="345"/>
        <v>1700000</v>
      </c>
      <c r="M511" s="80">
        <f t="shared" si="338"/>
        <v>0</v>
      </c>
      <c r="N511" s="81"/>
      <c r="O511" s="190">
        <v>0</v>
      </c>
      <c r="P511" s="80">
        <f t="shared" si="339"/>
        <v>5180697</v>
      </c>
      <c r="Q511" s="81">
        <f t="shared" si="346"/>
        <v>3480697</v>
      </c>
      <c r="R511" s="190">
        <f t="shared" si="347"/>
        <v>1700000</v>
      </c>
      <c r="S511" s="80">
        <f t="shared" si="340"/>
        <v>211662</v>
      </c>
      <c r="T511" s="81">
        <v>211662</v>
      </c>
      <c r="U511" s="190">
        <v>0</v>
      </c>
      <c r="V511" s="80">
        <f t="shared" si="341"/>
        <v>5392359</v>
      </c>
      <c r="W511" s="81">
        <f t="shared" si="348"/>
        <v>3692359</v>
      </c>
      <c r="X511" s="190">
        <f t="shared" si="349"/>
        <v>1700000</v>
      </c>
      <c r="Y511" s="80">
        <f t="shared" si="342"/>
        <v>-54872</v>
      </c>
      <c r="Z511" s="81">
        <v>-54872</v>
      </c>
      <c r="AA511" s="190"/>
      <c r="AB511" s="80">
        <f t="shared" si="343"/>
        <v>5337487</v>
      </c>
      <c r="AC511" s="81">
        <f t="shared" si="350"/>
        <v>3637487</v>
      </c>
      <c r="AD511" s="190">
        <f t="shared" si="351"/>
        <v>1700000</v>
      </c>
      <c r="AF511" s="46">
        <f t="shared" si="327"/>
        <v>0</v>
      </c>
      <c r="AG511" s="46"/>
    </row>
    <row r="512" spans="1:33" ht="12.75">
      <c r="A512" s="354"/>
      <c r="B512" s="140">
        <v>85410</v>
      </c>
      <c r="C512" s="129" t="s">
        <v>292</v>
      </c>
      <c r="D512" s="112">
        <v>4507383</v>
      </c>
      <c r="E512" s="113">
        <v>4227383</v>
      </c>
      <c r="F512" s="114">
        <v>280000</v>
      </c>
      <c r="G512" s="112">
        <f t="shared" si="336"/>
        <v>0</v>
      </c>
      <c r="H512" s="113">
        <f>H513+H514</f>
        <v>0</v>
      </c>
      <c r="I512" s="114">
        <f>I513+I514</f>
        <v>0</v>
      </c>
      <c r="J512" s="112">
        <f t="shared" si="337"/>
        <v>4507383</v>
      </c>
      <c r="K512" s="113">
        <f t="shared" si="344"/>
        <v>4227383</v>
      </c>
      <c r="L512" s="114">
        <f t="shared" si="345"/>
        <v>280000</v>
      </c>
      <c r="M512" s="112">
        <f t="shared" si="338"/>
        <v>0</v>
      </c>
      <c r="N512" s="113">
        <f>N513+N514</f>
        <v>0</v>
      </c>
      <c r="O512" s="114">
        <f>O513+O514</f>
        <v>0</v>
      </c>
      <c r="P512" s="112">
        <f t="shared" si="339"/>
        <v>4507383</v>
      </c>
      <c r="Q512" s="113">
        <f t="shared" si="346"/>
        <v>4227383</v>
      </c>
      <c r="R512" s="114">
        <f t="shared" si="347"/>
        <v>280000</v>
      </c>
      <c r="S512" s="112">
        <f t="shared" si="340"/>
        <v>231914</v>
      </c>
      <c r="T512" s="113">
        <f>T513+T514</f>
        <v>231914</v>
      </c>
      <c r="U512" s="114">
        <f>U513+U514</f>
        <v>0</v>
      </c>
      <c r="V512" s="112">
        <f t="shared" si="341"/>
        <v>4739297</v>
      </c>
      <c r="W512" s="113">
        <f t="shared" si="348"/>
        <v>4459297</v>
      </c>
      <c r="X512" s="114">
        <f t="shared" si="349"/>
        <v>280000</v>
      </c>
      <c r="Y512" s="112">
        <f t="shared" si="342"/>
        <v>53341</v>
      </c>
      <c r="Z512" s="113">
        <f>Z513+Z514</f>
        <v>53341</v>
      </c>
      <c r="AA512" s="114">
        <f>AA513+AA514</f>
        <v>0</v>
      </c>
      <c r="AB512" s="112">
        <f t="shared" si="343"/>
        <v>4792638</v>
      </c>
      <c r="AC512" s="113">
        <f t="shared" si="350"/>
        <v>4512638</v>
      </c>
      <c r="AD512" s="114">
        <f t="shared" si="351"/>
        <v>280000</v>
      </c>
      <c r="AF512" s="46">
        <f t="shared" si="327"/>
        <v>0</v>
      </c>
      <c r="AG512" s="46"/>
    </row>
    <row r="513" spans="1:33" ht="12.75">
      <c r="A513" s="354"/>
      <c r="B513" s="108"/>
      <c r="C513" s="90" t="s">
        <v>115</v>
      </c>
      <c r="D513" s="91">
        <v>4081895</v>
      </c>
      <c r="E513" s="92">
        <v>3801895</v>
      </c>
      <c r="F513" s="186">
        <v>280000</v>
      </c>
      <c r="G513" s="91">
        <f t="shared" si="336"/>
        <v>0</v>
      </c>
      <c r="H513" s="92"/>
      <c r="I513" s="186">
        <v>0</v>
      </c>
      <c r="J513" s="91">
        <f t="shared" si="337"/>
        <v>4081895</v>
      </c>
      <c r="K513" s="92">
        <f t="shared" si="344"/>
        <v>3801895</v>
      </c>
      <c r="L513" s="186">
        <f t="shared" si="345"/>
        <v>280000</v>
      </c>
      <c r="M513" s="91">
        <f t="shared" si="338"/>
        <v>0</v>
      </c>
      <c r="N513" s="92"/>
      <c r="O513" s="186">
        <v>0</v>
      </c>
      <c r="P513" s="91">
        <f t="shared" si="339"/>
        <v>4081895</v>
      </c>
      <c r="Q513" s="92">
        <f t="shared" si="346"/>
        <v>3801895</v>
      </c>
      <c r="R513" s="186">
        <f t="shared" si="347"/>
        <v>280000</v>
      </c>
      <c r="S513" s="91">
        <f t="shared" si="340"/>
        <v>195594</v>
      </c>
      <c r="T513" s="92">
        <f>175594+20000</f>
        <v>195594</v>
      </c>
      <c r="U513" s="186">
        <v>0</v>
      </c>
      <c r="V513" s="91">
        <f t="shared" si="341"/>
        <v>4277489</v>
      </c>
      <c r="W513" s="92">
        <f t="shared" si="348"/>
        <v>3997489</v>
      </c>
      <c r="X513" s="186">
        <f t="shared" si="349"/>
        <v>280000</v>
      </c>
      <c r="Y513" s="91">
        <f t="shared" si="342"/>
        <v>53341</v>
      </c>
      <c r="Z513" s="92">
        <v>53341</v>
      </c>
      <c r="AA513" s="186"/>
      <c r="AB513" s="91">
        <f t="shared" si="343"/>
        <v>4330830</v>
      </c>
      <c r="AC513" s="92">
        <f t="shared" si="350"/>
        <v>4050830</v>
      </c>
      <c r="AD513" s="186">
        <f t="shared" si="351"/>
        <v>280000</v>
      </c>
      <c r="AF513" s="46">
        <f t="shared" si="327"/>
        <v>0</v>
      </c>
      <c r="AG513" s="46"/>
    </row>
    <row r="514" spans="1:33" ht="12.75">
      <c r="A514" s="354"/>
      <c r="B514" s="140"/>
      <c r="C514" s="129" t="s">
        <v>117</v>
      </c>
      <c r="D514" s="112">
        <v>425488</v>
      </c>
      <c r="E514" s="113">
        <v>425488</v>
      </c>
      <c r="F514" s="128">
        <v>0</v>
      </c>
      <c r="G514" s="112">
        <f t="shared" si="336"/>
        <v>0</v>
      </c>
      <c r="H514" s="113"/>
      <c r="I514" s="128">
        <v>0</v>
      </c>
      <c r="J514" s="112">
        <f t="shared" si="337"/>
        <v>425488</v>
      </c>
      <c r="K514" s="113">
        <f t="shared" si="344"/>
        <v>425488</v>
      </c>
      <c r="L514" s="128">
        <f t="shared" si="345"/>
        <v>0</v>
      </c>
      <c r="M514" s="112">
        <f>N514+O514</f>
        <v>0</v>
      </c>
      <c r="N514" s="113"/>
      <c r="O514" s="128">
        <v>0</v>
      </c>
      <c r="P514" s="112">
        <f t="shared" si="339"/>
        <v>425488</v>
      </c>
      <c r="Q514" s="113">
        <f t="shared" si="346"/>
        <v>425488</v>
      </c>
      <c r="R514" s="128">
        <f t="shared" si="347"/>
        <v>0</v>
      </c>
      <c r="S514" s="112">
        <f>T514+U514</f>
        <v>36320</v>
      </c>
      <c r="T514" s="113">
        <v>36320</v>
      </c>
      <c r="U514" s="128">
        <v>0</v>
      </c>
      <c r="V514" s="112">
        <f t="shared" si="341"/>
        <v>461808</v>
      </c>
      <c r="W514" s="113">
        <f t="shared" si="348"/>
        <v>461808</v>
      </c>
      <c r="X514" s="128">
        <f t="shared" si="349"/>
        <v>0</v>
      </c>
      <c r="Y514" s="112">
        <f>Z514+AA514</f>
        <v>0</v>
      </c>
      <c r="Z514" s="113"/>
      <c r="AA514" s="128"/>
      <c r="AB514" s="112">
        <f t="shared" si="343"/>
        <v>461808</v>
      </c>
      <c r="AC514" s="113">
        <f t="shared" si="350"/>
        <v>461808</v>
      </c>
      <c r="AD514" s="128">
        <f t="shared" si="351"/>
        <v>0</v>
      </c>
      <c r="AF514" s="46">
        <f t="shared" si="327"/>
        <v>0</v>
      </c>
      <c r="AG514" s="46"/>
    </row>
    <row r="515" spans="1:33" ht="12.75" customHeight="1">
      <c r="A515" s="354"/>
      <c r="B515" s="106">
        <v>85415</v>
      </c>
      <c r="C515" s="83" t="s">
        <v>293</v>
      </c>
      <c r="D515" s="151">
        <v>0</v>
      </c>
      <c r="E515" s="81">
        <v>0</v>
      </c>
      <c r="F515" s="82">
        <v>0</v>
      </c>
      <c r="G515" s="151">
        <f t="shared" si="336"/>
        <v>0</v>
      </c>
      <c r="H515" s="81">
        <f>H516+H518</f>
        <v>0</v>
      </c>
      <c r="I515" s="82">
        <f>I516+I518</f>
        <v>0</v>
      </c>
      <c r="J515" s="151">
        <f t="shared" si="337"/>
        <v>0</v>
      </c>
      <c r="K515" s="81">
        <f t="shared" si="344"/>
        <v>0</v>
      </c>
      <c r="L515" s="82">
        <f t="shared" si="345"/>
        <v>0</v>
      </c>
      <c r="M515" s="151">
        <f t="shared" si="338"/>
        <v>0</v>
      </c>
      <c r="N515" s="81">
        <f>N516+N518</f>
        <v>0</v>
      </c>
      <c r="O515" s="82">
        <f>O516+O518</f>
        <v>0</v>
      </c>
      <c r="P515" s="151">
        <f t="shared" si="339"/>
        <v>0</v>
      </c>
      <c r="Q515" s="81">
        <f t="shared" si="346"/>
        <v>0</v>
      </c>
      <c r="R515" s="82">
        <f t="shared" si="347"/>
        <v>0</v>
      </c>
      <c r="S515" s="151">
        <f aca="true" t="shared" si="352" ref="S515:S531">T515+U515</f>
        <v>20800</v>
      </c>
      <c r="T515" s="81">
        <f>T516+T518</f>
        <v>20800</v>
      </c>
      <c r="U515" s="82">
        <f>U516+U518</f>
        <v>0</v>
      </c>
      <c r="V515" s="151">
        <f t="shared" si="341"/>
        <v>20800</v>
      </c>
      <c r="W515" s="81">
        <f t="shared" si="348"/>
        <v>20800</v>
      </c>
      <c r="X515" s="82">
        <f t="shared" si="349"/>
        <v>0</v>
      </c>
      <c r="Y515" s="151">
        <f aca="true" t="shared" si="353" ref="Y515:Y531">Z515+AA515</f>
        <v>0</v>
      </c>
      <c r="Z515" s="81">
        <f>Z516+Z518</f>
        <v>0</v>
      </c>
      <c r="AA515" s="82">
        <f>AA516+AA518</f>
        <v>0</v>
      </c>
      <c r="AB515" s="151">
        <f t="shared" si="343"/>
        <v>20800</v>
      </c>
      <c r="AC515" s="81">
        <f t="shared" si="350"/>
        <v>20800</v>
      </c>
      <c r="AD515" s="82">
        <f t="shared" si="351"/>
        <v>0</v>
      </c>
      <c r="AF515" s="46">
        <f t="shared" si="327"/>
        <v>0</v>
      </c>
      <c r="AG515" s="46"/>
    </row>
    <row r="516" spans="1:33" s="100" customFormat="1" ht="13.5" customHeight="1" hidden="1">
      <c r="A516" s="366"/>
      <c r="B516" s="275"/>
      <c r="C516" s="122" t="s">
        <v>294</v>
      </c>
      <c r="D516" s="277">
        <v>0</v>
      </c>
      <c r="E516" s="278">
        <v>0</v>
      </c>
      <c r="F516" s="381">
        <v>0</v>
      </c>
      <c r="G516" s="277">
        <f t="shared" si="336"/>
        <v>0</v>
      </c>
      <c r="H516" s="278">
        <v>0</v>
      </c>
      <c r="I516" s="381">
        <v>0</v>
      </c>
      <c r="J516" s="277">
        <f t="shared" si="337"/>
        <v>0</v>
      </c>
      <c r="K516" s="278">
        <f t="shared" si="344"/>
        <v>0</v>
      </c>
      <c r="L516" s="381">
        <f t="shared" si="345"/>
        <v>0</v>
      </c>
      <c r="M516" s="277">
        <f t="shared" si="338"/>
        <v>0</v>
      </c>
      <c r="N516" s="278">
        <v>0</v>
      </c>
      <c r="O516" s="381">
        <v>0</v>
      </c>
      <c r="P516" s="277">
        <f t="shared" si="339"/>
        <v>0</v>
      </c>
      <c r="Q516" s="278">
        <f t="shared" si="346"/>
        <v>0</v>
      </c>
      <c r="R516" s="381">
        <f t="shared" si="347"/>
        <v>0</v>
      </c>
      <c r="S516" s="277">
        <f t="shared" si="352"/>
        <v>0</v>
      </c>
      <c r="T516" s="278">
        <v>0</v>
      </c>
      <c r="U516" s="381">
        <v>0</v>
      </c>
      <c r="V516" s="277">
        <f t="shared" si="341"/>
        <v>0</v>
      </c>
      <c r="W516" s="278">
        <f t="shared" si="348"/>
        <v>0</v>
      </c>
      <c r="X516" s="381">
        <f t="shared" si="349"/>
        <v>0</v>
      </c>
      <c r="Y516" s="277">
        <f t="shared" si="353"/>
        <v>0</v>
      </c>
      <c r="Z516" s="278">
        <v>0</v>
      </c>
      <c r="AA516" s="381">
        <v>0</v>
      </c>
      <c r="AB516" s="277">
        <f t="shared" si="343"/>
        <v>0</v>
      </c>
      <c r="AC516" s="278">
        <f t="shared" si="350"/>
        <v>0</v>
      </c>
      <c r="AD516" s="381">
        <f t="shared" si="351"/>
        <v>0</v>
      </c>
      <c r="AF516" s="46">
        <f t="shared" si="327"/>
        <v>0</v>
      </c>
      <c r="AG516" s="46"/>
    </row>
    <row r="517" spans="1:33" s="100" customFormat="1" ht="13.5" customHeight="1" hidden="1">
      <c r="A517" s="366"/>
      <c r="B517" s="109"/>
      <c r="C517" s="122" t="s">
        <v>295</v>
      </c>
      <c r="D517" s="252">
        <v>0</v>
      </c>
      <c r="E517" s="124">
        <v>0</v>
      </c>
      <c r="F517" s="237">
        <v>0</v>
      </c>
      <c r="G517" s="252">
        <f t="shared" si="336"/>
        <v>0</v>
      </c>
      <c r="H517" s="124">
        <v>0</v>
      </c>
      <c r="I517" s="237">
        <v>0</v>
      </c>
      <c r="J517" s="252">
        <f t="shared" si="337"/>
        <v>0</v>
      </c>
      <c r="K517" s="124">
        <f t="shared" si="344"/>
        <v>0</v>
      </c>
      <c r="L517" s="237">
        <f t="shared" si="345"/>
        <v>0</v>
      </c>
      <c r="M517" s="252">
        <f t="shared" si="338"/>
        <v>0</v>
      </c>
      <c r="N517" s="124">
        <v>0</v>
      </c>
      <c r="O517" s="237">
        <v>0</v>
      </c>
      <c r="P517" s="252">
        <f t="shared" si="339"/>
        <v>0</v>
      </c>
      <c r="Q517" s="124">
        <f t="shared" si="346"/>
        <v>0</v>
      </c>
      <c r="R517" s="237">
        <f t="shared" si="347"/>
        <v>0</v>
      </c>
      <c r="S517" s="252">
        <f t="shared" si="352"/>
        <v>0</v>
      </c>
      <c r="T517" s="124">
        <v>0</v>
      </c>
      <c r="U517" s="237">
        <v>0</v>
      </c>
      <c r="V517" s="252">
        <f t="shared" si="341"/>
        <v>0</v>
      </c>
      <c r="W517" s="124">
        <f t="shared" si="348"/>
        <v>0</v>
      </c>
      <c r="X517" s="237">
        <f t="shared" si="349"/>
        <v>0</v>
      </c>
      <c r="Y517" s="252">
        <f t="shared" si="353"/>
        <v>0</v>
      </c>
      <c r="Z517" s="124">
        <v>0</v>
      </c>
      <c r="AA517" s="237">
        <v>0</v>
      </c>
      <c r="AB517" s="252">
        <f t="shared" si="343"/>
        <v>0</v>
      </c>
      <c r="AC517" s="124">
        <f t="shared" si="350"/>
        <v>0</v>
      </c>
      <c r="AD517" s="237">
        <f t="shared" si="351"/>
        <v>0</v>
      </c>
      <c r="AF517" s="46">
        <f t="shared" si="327"/>
        <v>0</v>
      </c>
      <c r="AG517" s="46"/>
    </row>
    <row r="518" spans="1:33" s="100" customFormat="1" ht="13.5" customHeight="1">
      <c r="A518" s="366"/>
      <c r="B518" s="126"/>
      <c r="C518" s="382" t="s">
        <v>174</v>
      </c>
      <c r="D518" s="383">
        <v>0</v>
      </c>
      <c r="E518" s="384">
        <v>0</v>
      </c>
      <c r="F518" s="385">
        <v>0</v>
      </c>
      <c r="G518" s="383">
        <f t="shared" si="336"/>
        <v>0</v>
      </c>
      <c r="H518" s="384">
        <v>0</v>
      </c>
      <c r="I518" s="385">
        <v>0</v>
      </c>
      <c r="J518" s="383">
        <f t="shared" si="337"/>
        <v>0</v>
      </c>
      <c r="K518" s="384">
        <f t="shared" si="344"/>
        <v>0</v>
      </c>
      <c r="L518" s="385">
        <f t="shared" si="345"/>
        <v>0</v>
      </c>
      <c r="M518" s="383">
        <f t="shared" si="338"/>
        <v>0</v>
      </c>
      <c r="N518" s="384">
        <v>0</v>
      </c>
      <c r="O518" s="385">
        <v>0</v>
      </c>
      <c r="P518" s="383">
        <f t="shared" si="339"/>
        <v>0</v>
      </c>
      <c r="Q518" s="384">
        <f t="shared" si="346"/>
        <v>0</v>
      </c>
      <c r="R518" s="385">
        <f t="shared" si="347"/>
        <v>0</v>
      </c>
      <c r="S518" s="383">
        <f t="shared" si="352"/>
        <v>20800</v>
      </c>
      <c r="T518" s="384">
        <v>20800</v>
      </c>
      <c r="U518" s="385">
        <v>0</v>
      </c>
      <c r="V518" s="383">
        <f t="shared" si="341"/>
        <v>20800</v>
      </c>
      <c r="W518" s="384">
        <f t="shared" si="348"/>
        <v>20800</v>
      </c>
      <c r="X518" s="385">
        <f t="shared" si="349"/>
        <v>0</v>
      </c>
      <c r="Y518" s="383">
        <f t="shared" si="353"/>
        <v>0</v>
      </c>
      <c r="Z518" s="384"/>
      <c r="AA518" s="385"/>
      <c r="AB518" s="383">
        <f t="shared" si="343"/>
        <v>20800</v>
      </c>
      <c r="AC518" s="384">
        <f t="shared" si="350"/>
        <v>20800</v>
      </c>
      <c r="AD518" s="385">
        <f t="shared" si="351"/>
        <v>0</v>
      </c>
      <c r="AF518" s="46">
        <f t="shared" si="327"/>
        <v>0</v>
      </c>
      <c r="AG518" s="46"/>
    </row>
    <row r="519" spans="1:33" ht="12.75">
      <c r="A519" s="354"/>
      <c r="B519" s="106">
        <v>85417</v>
      </c>
      <c r="C519" s="386" t="s">
        <v>296</v>
      </c>
      <c r="D519" s="80">
        <v>526659</v>
      </c>
      <c r="E519" s="81">
        <v>526659</v>
      </c>
      <c r="F519" s="82">
        <v>0</v>
      </c>
      <c r="G519" s="80">
        <f t="shared" si="336"/>
        <v>0</v>
      </c>
      <c r="H519" s="81">
        <f>SUM(H520:H521)</f>
        <v>0</v>
      </c>
      <c r="I519" s="82">
        <f>SUM(I520:I521)</f>
        <v>0</v>
      </c>
      <c r="J519" s="80">
        <f t="shared" si="337"/>
        <v>526659</v>
      </c>
      <c r="K519" s="81">
        <f t="shared" si="344"/>
        <v>526659</v>
      </c>
      <c r="L519" s="82">
        <f t="shared" si="345"/>
        <v>0</v>
      </c>
      <c r="M519" s="80">
        <f t="shared" si="338"/>
        <v>0</v>
      </c>
      <c r="N519" s="81">
        <f>SUM(N520:N521)</f>
        <v>0</v>
      </c>
      <c r="O519" s="82">
        <f>SUM(O520:O521)</f>
        <v>0</v>
      </c>
      <c r="P519" s="80">
        <f t="shared" si="339"/>
        <v>526659</v>
      </c>
      <c r="Q519" s="81">
        <f t="shared" si="346"/>
        <v>526659</v>
      </c>
      <c r="R519" s="82">
        <f t="shared" si="347"/>
        <v>0</v>
      </c>
      <c r="S519" s="80">
        <f t="shared" si="352"/>
        <v>28798</v>
      </c>
      <c r="T519" s="81">
        <f>SUM(T520:T521)</f>
        <v>28798</v>
      </c>
      <c r="U519" s="82">
        <f>SUM(U520:U521)</f>
        <v>0</v>
      </c>
      <c r="V519" s="80">
        <f t="shared" si="341"/>
        <v>555457</v>
      </c>
      <c r="W519" s="81">
        <f t="shared" si="348"/>
        <v>555457</v>
      </c>
      <c r="X519" s="82">
        <f t="shared" si="349"/>
        <v>0</v>
      </c>
      <c r="Y519" s="80">
        <f t="shared" si="353"/>
        <v>1531</v>
      </c>
      <c r="Z519" s="81">
        <f>SUM(Z520:Z521)</f>
        <v>1531</v>
      </c>
      <c r="AA519" s="82">
        <f>SUM(AA520:AA521)</f>
        <v>0</v>
      </c>
      <c r="AB519" s="80">
        <f t="shared" si="343"/>
        <v>556988</v>
      </c>
      <c r="AC519" s="81">
        <f t="shared" si="350"/>
        <v>556988</v>
      </c>
      <c r="AD519" s="82">
        <f t="shared" si="351"/>
        <v>0</v>
      </c>
      <c r="AF519" s="46">
        <f t="shared" si="327"/>
        <v>0</v>
      </c>
      <c r="AG519" s="46"/>
    </row>
    <row r="520" spans="1:33" ht="12.75">
      <c r="A520" s="354"/>
      <c r="B520" s="130"/>
      <c r="C520" s="85" t="s">
        <v>115</v>
      </c>
      <c r="D520" s="88">
        <v>333219</v>
      </c>
      <c r="E520" s="86">
        <v>333219</v>
      </c>
      <c r="F520" s="186">
        <v>0</v>
      </c>
      <c r="G520" s="88">
        <f t="shared" si="336"/>
        <v>0</v>
      </c>
      <c r="H520" s="86"/>
      <c r="I520" s="186">
        <v>0</v>
      </c>
      <c r="J520" s="88">
        <f t="shared" si="337"/>
        <v>333219</v>
      </c>
      <c r="K520" s="86">
        <f t="shared" si="344"/>
        <v>333219</v>
      </c>
      <c r="L520" s="186">
        <f t="shared" si="345"/>
        <v>0</v>
      </c>
      <c r="M520" s="88">
        <f t="shared" si="338"/>
        <v>0</v>
      </c>
      <c r="N520" s="86"/>
      <c r="O520" s="186">
        <v>0</v>
      </c>
      <c r="P520" s="88">
        <f t="shared" si="339"/>
        <v>333219</v>
      </c>
      <c r="Q520" s="86">
        <f t="shared" si="346"/>
        <v>333219</v>
      </c>
      <c r="R520" s="186">
        <f t="shared" si="347"/>
        <v>0</v>
      </c>
      <c r="S520" s="88">
        <f t="shared" si="352"/>
        <v>7988</v>
      </c>
      <c r="T520" s="86">
        <v>7988</v>
      </c>
      <c r="U520" s="186">
        <v>0</v>
      </c>
      <c r="V520" s="88">
        <f t="shared" si="341"/>
        <v>341207</v>
      </c>
      <c r="W520" s="86">
        <f t="shared" si="348"/>
        <v>341207</v>
      </c>
      <c r="X520" s="186">
        <f t="shared" si="349"/>
        <v>0</v>
      </c>
      <c r="Y520" s="88">
        <f t="shared" si="353"/>
        <v>1531</v>
      </c>
      <c r="Z520" s="86">
        <v>1531</v>
      </c>
      <c r="AA520" s="186"/>
      <c r="AB520" s="88">
        <f t="shared" si="343"/>
        <v>342738</v>
      </c>
      <c r="AC520" s="86">
        <f t="shared" si="350"/>
        <v>342738</v>
      </c>
      <c r="AD520" s="186">
        <f t="shared" si="351"/>
        <v>0</v>
      </c>
      <c r="AF520" s="46">
        <f t="shared" si="327"/>
        <v>0</v>
      </c>
      <c r="AG520" s="46"/>
    </row>
    <row r="521" spans="1:33" ht="12.75">
      <c r="A521" s="354"/>
      <c r="B521" s="140"/>
      <c r="C521" s="129" t="s">
        <v>117</v>
      </c>
      <c r="D521" s="387">
        <v>193440</v>
      </c>
      <c r="E521" s="113">
        <v>193440</v>
      </c>
      <c r="F521" s="128">
        <v>0</v>
      </c>
      <c r="G521" s="387">
        <f t="shared" si="336"/>
        <v>0</v>
      </c>
      <c r="H521" s="113"/>
      <c r="I521" s="128">
        <v>0</v>
      </c>
      <c r="J521" s="387">
        <f t="shared" si="337"/>
        <v>193440</v>
      </c>
      <c r="K521" s="113">
        <f t="shared" si="344"/>
        <v>193440</v>
      </c>
      <c r="L521" s="128">
        <f t="shared" si="345"/>
        <v>0</v>
      </c>
      <c r="M521" s="387">
        <f t="shared" si="338"/>
        <v>0</v>
      </c>
      <c r="N521" s="113"/>
      <c r="O521" s="128">
        <v>0</v>
      </c>
      <c r="P521" s="387">
        <f t="shared" si="339"/>
        <v>193440</v>
      </c>
      <c r="Q521" s="113">
        <f t="shared" si="346"/>
        <v>193440</v>
      </c>
      <c r="R521" s="128">
        <f t="shared" si="347"/>
        <v>0</v>
      </c>
      <c r="S521" s="387">
        <f t="shared" si="352"/>
        <v>20810</v>
      </c>
      <c r="T521" s="113">
        <v>20810</v>
      </c>
      <c r="U521" s="128">
        <v>0</v>
      </c>
      <c r="V521" s="387">
        <f t="shared" si="341"/>
        <v>214250</v>
      </c>
      <c r="W521" s="113">
        <f t="shared" si="348"/>
        <v>214250</v>
      </c>
      <c r="X521" s="128">
        <f t="shared" si="349"/>
        <v>0</v>
      </c>
      <c r="Y521" s="387">
        <f t="shared" si="353"/>
        <v>0</v>
      </c>
      <c r="Z521" s="113"/>
      <c r="AA521" s="128"/>
      <c r="AB521" s="387">
        <f t="shared" si="343"/>
        <v>214250</v>
      </c>
      <c r="AC521" s="113">
        <f t="shared" si="350"/>
        <v>214250</v>
      </c>
      <c r="AD521" s="128">
        <f t="shared" si="351"/>
        <v>0</v>
      </c>
      <c r="AF521" s="46">
        <f t="shared" si="327"/>
        <v>0</v>
      </c>
      <c r="AG521" s="46"/>
    </row>
    <row r="522" spans="1:33" ht="13.5" thickBot="1">
      <c r="A522" s="354"/>
      <c r="B522" s="152">
        <v>85446</v>
      </c>
      <c r="C522" s="153" t="s">
        <v>130</v>
      </c>
      <c r="D522" s="154">
        <v>134129</v>
      </c>
      <c r="E522" s="155">
        <v>134129</v>
      </c>
      <c r="F522" s="388">
        <v>0</v>
      </c>
      <c r="G522" s="154">
        <f t="shared" si="336"/>
        <v>0</v>
      </c>
      <c r="H522" s="155"/>
      <c r="I522" s="388">
        <v>0</v>
      </c>
      <c r="J522" s="154">
        <f t="shared" si="337"/>
        <v>134129</v>
      </c>
      <c r="K522" s="155">
        <f t="shared" si="344"/>
        <v>134129</v>
      </c>
      <c r="L522" s="388">
        <f t="shared" si="345"/>
        <v>0</v>
      </c>
      <c r="M522" s="154">
        <f t="shared" si="338"/>
        <v>0</v>
      </c>
      <c r="N522" s="155"/>
      <c r="O522" s="388">
        <v>0</v>
      </c>
      <c r="P522" s="154">
        <f t="shared" si="339"/>
        <v>134129</v>
      </c>
      <c r="Q522" s="155">
        <f t="shared" si="346"/>
        <v>134129</v>
      </c>
      <c r="R522" s="388">
        <f t="shared" si="347"/>
        <v>0</v>
      </c>
      <c r="S522" s="154">
        <f t="shared" si="352"/>
        <v>0</v>
      </c>
      <c r="T522" s="155"/>
      <c r="U522" s="388">
        <v>0</v>
      </c>
      <c r="V522" s="154">
        <f t="shared" si="341"/>
        <v>134129</v>
      </c>
      <c r="W522" s="155">
        <f t="shared" si="348"/>
        <v>134129</v>
      </c>
      <c r="X522" s="388">
        <f t="shared" si="349"/>
        <v>0</v>
      </c>
      <c r="Y522" s="154">
        <f t="shared" si="353"/>
        <v>0</v>
      </c>
      <c r="Z522" s="155"/>
      <c r="AA522" s="388"/>
      <c r="AB522" s="154">
        <f t="shared" si="343"/>
        <v>134129</v>
      </c>
      <c r="AC522" s="155">
        <f t="shared" si="350"/>
        <v>134129</v>
      </c>
      <c r="AD522" s="388">
        <f t="shared" si="351"/>
        <v>0</v>
      </c>
      <c r="AF522" s="46">
        <f t="shared" si="327"/>
        <v>0</v>
      </c>
      <c r="AG522" s="46"/>
    </row>
    <row r="523" spans="1:33" ht="12.75">
      <c r="A523" s="354"/>
      <c r="B523" s="133">
        <v>900</v>
      </c>
      <c r="C523" s="134" t="s">
        <v>176</v>
      </c>
      <c r="D523" s="75">
        <v>1988000</v>
      </c>
      <c r="E523" s="76">
        <v>1488000</v>
      </c>
      <c r="F523" s="135">
        <v>500000</v>
      </c>
      <c r="G523" s="75">
        <f t="shared" si="336"/>
        <v>0</v>
      </c>
      <c r="H523" s="76">
        <f>H524+H526+H528</f>
        <v>0</v>
      </c>
      <c r="I523" s="135">
        <f>I524+I526+I528</f>
        <v>0</v>
      </c>
      <c r="J523" s="75">
        <f t="shared" si="337"/>
        <v>1988000</v>
      </c>
      <c r="K523" s="76">
        <f>K524+K526+K528</f>
        <v>1488000</v>
      </c>
      <c r="L523" s="135">
        <f>L524+L526+L528</f>
        <v>500000</v>
      </c>
      <c r="M523" s="75">
        <f t="shared" si="338"/>
        <v>0</v>
      </c>
      <c r="N523" s="76">
        <f>N524+N526+N528</f>
        <v>0</v>
      </c>
      <c r="O523" s="135">
        <f>O524+O526+O528</f>
        <v>0</v>
      </c>
      <c r="P523" s="75">
        <f t="shared" si="339"/>
        <v>1988000</v>
      </c>
      <c r="Q523" s="76">
        <f>Q524+Q526+Q528</f>
        <v>1488000</v>
      </c>
      <c r="R523" s="135">
        <f>R524+R526+R528</f>
        <v>500000</v>
      </c>
      <c r="S523" s="75">
        <f t="shared" si="352"/>
        <v>0</v>
      </c>
      <c r="T523" s="76">
        <f>T524+T526+T528</f>
        <v>0</v>
      </c>
      <c r="U523" s="135">
        <f>U524+U526+U528</f>
        <v>0</v>
      </c>
      <c r="V523" s="75">
        <f t="shared" si="341"/>
        <v>1988000</v>
      </c>
      <c r="W523" s="76">
        <f>W524+W526+W528</f>
        <v>1488000</v>
      </c>
      <c r="X523" s="135">
        <f>X524+X526+X528</f>
        <v>500000</v>
      </c>
      <c r="Y523" s="75">
        <f t="shared" si="353"/>
        <v>25000</v>
      </c>
      <c r="Z523" s="76">
        <f>Z524+Z526+Z528</f>
        <v>25000</v>
      </c>
      <c r="AA523" s="135">
        <f>AA524+AA526+AA528</f>
        <v>0</v>
      </c>
      <c r="AB523" s="75">
        <f t="shared" si="343"/>
        <v>2013000</v>
      </c>
      <c r="AC523" s="76">
        <f>AC524+AC526+AC528</f>
        <v>1513000</v>
      </c>
      <c r="AD523" s="135">
        <f>AD524+AD526+AD528</f>
        <v>500000</v>
      </c>
      <c r="AF523" s="46">
        <f t="shared" si="327"/>
        <v>0</v>
      </c>
      <c r="AG523" s="46"/>
    </row>
    <row r="524" spans="1:33" ht="12.75">
      <c r="A524" s="354"/>
      <c r="B524" s="136">
        <v>90001</v>
      </c>
      <c r="C524" s="137" t="s">
        <v>177</v>
      </c>
      <c r="D524" s="80">
        <v>1350000</v>
      </c>
      <c r="E524" s="138">
        <v>1350000</v>
      </c>
      <c r="F524" s="178">
        <v>0</v>
      </c>
      <c r="G524" s="80">
        <f t="shared" si="336"/>
        <v>0</v>
      </c>
      <c r="H524" s="138">
        <f>H525</f>
        <v>0</v>
      </c>
      <c r="I524" s="178">
        <f>I525</f>
        <v>0</v>
      </c>
      <c r="J524" s="80">
        <f t="shared" si="337"/>
        <v>1350000</v>
      </c>
      <c r="K524" s="138">
        <f aca="true" t="shared" si="354" ref="K524:K530">E524+H524</f>
        <v>1350000</v>
      </c>
      <c r="L524" s="178">
        <f aca="true" t="shared" si="355" ref="L524:L530">I524+F524</f>
        <v>0</v>
      </c>
      <c r="M524" s="80">
        <f t="shared" si="338"/>
        <v>0</v>
      </c>
      <c r="N524" s="138">
        <f>N525</f>
        <v>0</v>
      </c>
      <c r="O524" s="178">
        <f>O525</f>
        <v>0</v>
      </c>
      <c r="P524" s="80">
        <f t="shared" si="339"/>
        <v>1350000</v>
      </c>
      <c r="Q524" s="138">
        <f aca="true" t="shared" si="356" ref="Q524:Q530">K524+N524</f>
        <v>1350000</v>
      </c>
      <c r="R524" s="178">
        <f aca="true" t="shared" si="357" ref="R524:R530">O524+L524</f>
        <v>0</v>
      </c>
      <c r="S524" s="80">
        <f t="shared" si="352"/>
        <v>0</v>
      </c>
      <c r="T524" s="138">
        <f>T525</f>
        <v>0</v>
      </c>
      <c r="U524" s="178">
        <f>U525</f>
        <v>0</v>
      </c>
      <c r="V524" s="80">
        <f t="shared" si="341"/>
        <v>1350000</v>
      </c>
      <c r="W524" s="138">
        <f aca="true" t="shared" si="358" ref="W524:W530">Q524+T524</f>
        <v>1350000</v>
      </c>
      <c r="X524" s="178">
        <f aca="true" t="shared" si="359" ref="X524:X530">U524+R524</f>
        <v>0</v>
      </c>
      <c r="Y524" s="80">
        <f t="shared" si="353"/>
        <v>25000</v>
      </c>
      <c r="Z524" s="138">
        <f>Z525</f>
        <v>25000</v>
      </c>
      <c r="AA524" s="178">
        <f>AA525</f>
        <v>0</v>
      </c>
      <c r="AB524" s="80">
        <f t="shared" si="343"/>
        <v>1375000</v>
      </c>
      <c r="AC524" s="138">
        <f aca="true" t="shared" si="360" ref="AC524:AC530">W524+Z524</f>
        <v>1375000</v>
      </c>
      <c r="AD524" s="178">
        <f aca="true" t="shared" si="361" ref="AD524:AD530">AA524+X524</f>
        <v>0</v>
      </c>
      <c r="AF524" s="46">
        <f t="shared" si="327"/>
        <v>0</v>
      </c>
      <c r="AG524" s="46"/>
    </row>
    <row r="525" spans="1:33" ht="12.75">
      <c r="A525" s="354"/>
      <c r="B525" s="136"/>
      <c r="C525" s="137" t="s">
        <v>179</v>
      </c>
      <c r="D525" s="80">
        <v>1350000</v>
      </c>
      <c r="E525" s="138">
        <v>1350000</v>
      </c>
      <c r="F525" s="190">
        <v>0</v>
      </c>
      <c r="G525" s="80">
        <f t="shared" si="336"/>
        <v>0</v>
      </c>
      <c r="H525" s="138"/>
      <c r="I525" s="190">
        <v>0</v>
      </c>
      <c r="J525" s="80">
        <f t="shared" si="337"/>
        <v>1350000</v>
      </c>
      <c r="K525" s="138">
        <f t="shared" si="354"/>
        <v>1350000</v>
      </c>
      <c r="L525" s="190">
        <f t="shared" si="355"/>
        <v>0</v>
      </c>
      <c r="M525" s="80">
        <f t="shared" si="338"/>
        <v>0</v>
      </c>
      <c r="N525" s="138"/>
      <c r="O525" s="190">
        <v>0</v>
      </c>
      <c r="P525" s="80">
        <f t="shared" si="339"/>
        <v>1350000</v>
      </c>
      <c r="Q525" s="138">
        <f t="shared" si="356"/>
        <v>1350000</v>
      </c>
      <c r="R525" s="190">
        <f t="shared" si="357"/>
        <v>0</v>
      </c>
      <c r="S525" s="80">
        <f t="shared" si="352"/>
        <v>0</v>
      </c>
      <c r="T525" s="138"/>
      <c r="U525" s="190">
        <v>0</v>
      </c>
      <c r="V525" s="80">
        <f t="shared" si="341"/>
        <v>1350000</v>
      </c>
      <c r="W525" s="138">
        <f t="shared" si="358"/>
        <v>1350000</v>
      </c>
      <c r="X525" s="190">
        <f t="shared" si="359"/>
        <v>0</v>
      </c>
      <c r="Y525" s="80">
        <f t="shared" si="353"/>
        <v>25000</v>
      </c>
      <c r="Z525" s="138">
        <v>25000</v>
      </c>
      <c r="AA525" s="190"/>
      <c r="AB525" s="80">
        <f t="shared" si="343"/>
        <v>1375000</v>
      </c>
      <c r="AC525" s="138">
        <f t="shared" si="360"/>
        <v>1375000</v>
      </c>
      <c r="AD525" s="190">
        <f t="shared" si="361"/>
        <v>0</v>
      </c>
      <c r="AF525" s="46">
        <f t="shared" si="327"/>
        <v>0</v>
      </c>
      <c r="AG525" s="46"/>
    </row>
    <row r="526" spans="1:33" ht="12.75">
      <c r="A526" s="354"/>
      <c r="B526" s="140">
        <v>90015</v>
      </c>
      <c r="C526" s="129" t="s">
        <v>187</v>
      </c>
      <c r="D526" s="112">
        <v>500000</v>
      </c>
      <c r="E526" s="113">
        <v>0</v>
      </c>
      <c r="F526" s="114">
        <v>500000</v>
      </c>
      <c r="G526" s="112">
        <f t="shared" si="336"/>
        <v>0</v>
      </c>
      <c r="H526" s="113">
        <f>H527</f>
        <v>0</v>
      </c>
      <c r="I526" s="114">
        <f>I527</f>
        <v>0</v>
      </c>
      <c r="J526" s="112">
        <f t="shared" si="337"/>
        <v>500000</v>
      </c>
      <c r="K526" s="113">
        <f t="shared" si="354"/>
        <v>0</v>
      </c>
      <c r="L526" s="114">
        <f t="shared" si="355"/>
        <v>500000</v>
      </c>
      <c r="M526" s="112">
        <f t="shared" si="338"/>
        <v>0</v>
      </c>
      <c r="N526" s="113">
        <f>N527</f>
        <v>0</v>
      </c>
      <c r="O526" s="114">
        <f>O527</f>
        <v>0</v>
      </c>
      <c r="P526" s="112">
        <f t="shared" si="339"/>
        <v>500000</v>
      </c>
      <c r="Q526" s="113">
        <f t="shared" si="356"/>
        <v>0</v>
      </c>
      <c r="R526" s="114">
        <f t="shared" si="357"/>
        <v>500000</v>
      </c>
      <c r="S526" s="112">
        <f t="shared" si="352"/>
        <v>0</v>
      </c>
      <c r="T526" s="113">
        <f>T527</f>
        <v>0</v>
      </c>
      <c r="U526" s="114">
        <f>U527</f>
        <v>0</v>
      </c>
      <c r="V526" s="112">
        <f t="shared" si="341"/>
        <v>500000</v>
      </c>
      <c r="W526" s="113">
        <f t="shared" si="358"/>
        <v>0</v>
      </c>
      <c r="X526" s="114">
        <f t="shared" si="359"/>
        <v>500000</v>
      </c>
      <c r="Y526" s="112">
        <f t="shared" si="353"/>
        <v>0</v>
      </c>
      <c r="Z526" s="113">
        <f>Z527</f>
        <v>0</v>
      </c>
      <c r="AA526" s="114">
        <f>AA527</f>
        <v>0</v>
      </c>
      <c r="AB526" s="112">
        <f t="shared" si="343"/>
        <v>500000</v>
      </c>
      <c r="AC526" s="113">
        <f t="shared" si="360"/>
        <v>0</v>
      </c>
      <c r="AD526" s="114">
        <f t="shared" si="361"/>
        <v>500000</v>
      </c>
      <c r="AF526" s="46">
        <f t="shared" si="327"/>
        <v>0</v>
      </c>
      <c r="AG526" s="46"/>
    </row>
    <row r="527" spans="1:33" ht="12.75">
      <c r="A527" s="354"/>
      <c r="B527" s="106"/>
      <c r="C527" s="83" t="s">
        <v>41</v>
      </c>
      <c r="D527" s="80">
        <v>500000</v>
      </c>
      <c r="E527" s="81">
        <v>0</v>
      </c>
      <c r="F527" s="190">
        <v>500000</v>
      </c>
      <c r="G527" s="80">
        <f t="shared" si="336"/>
        <v>0</v>
      </c>
      <c r="H527" s="81">
        <v>0</v>
      </c>
      <c r="I527" s="190"/>
      <c r="J527" s="80">
        <f t="shared" si="337"/>
        <v>500000</v>
      </c>
      <c r="K527" s="81">
        <f t="shared" si="354"/>
        <v>0</v>
      </c>
      <c r="L527" s="190">
        <f t="shared" si="355"/>
        <v>500000</v>
      </c>
      <c r="M527" s="80">
        <f t="shared" si="338"/>
        <v>0</v>
      </c>
      <c r="N527" s="81">
        <v>0</v>
      </c>
      <c r="O527" s="190"/>
      <c r="P527" s="80">
        <f t="shared" si="339"/>
        <v>500000</v>
      </c>
      <c r="Q527" s="81">
        <f t="shared" si="356"/>
        <v>0</v>
      </c>
      <c r="R527" s="190">
        <f t="shared" si="357"/>
        <v>500000</v>
      </c>
      <c r="S527" s="80">
        <f t="shared" si="352"/>
        <v>0</v>
      </c>
      <c r="T527" s="81">
        <v>0</v>
      </c>
      <c r="U527" s="190"/>
      <c r="V527" s="80">
        <f t="shared" si="341"/>
        <v>500000</v>
      </c>
      <c r="W527" s="81">
        <f t="shared" si="358"/>
        <v>0</v>
      </c>
      <c r="X527" s="190">
        <f t="shared" si="359"/>
        <v>500000</v>
      </c>
      <c r="Y527" s="80">
        <f t="shared" si="353"/>
        <v>0</v>
      </c>
      <c r="Z527" s="81"/>
      <c r="AA527" s="190"/>
      <c r="AB527" s="80">
        <f t="shared" si="343"/>
        <v>500000</v>
      </c>
      <c r="AC527" s="81">
        <f t="shared" si="360"/>
        <v>0</v>
      </c>
      <c r="AD527" s="190">
        <f t="shared" si="361"/>
        <v>500000</v>
      </c>
      <c r="AF527" s="46">
        <f t="shared" si="327"/>
        <v>0</v>
      </c>
      <c r="AG527" s="46"/>
    </row>
    <row r="528" spans="1:33" ht="12.75">
      <c r="A528" s="354"/>
      <c r="B528" s="140">
        <v>90095</v>
      </c>
      <c r="C528" s="129" t="s">
        <v>29</v>
      </c>
      <c r="D528" s="112">
        <v>138000</v>
      </c>
      <c r="E528" s="113">
        <v>138000</v>
      </c>
      <c r="F528" s="114">
        <v>0</v>
      </c>
      <c r="G528" s="112">
        <f t="shared" si="336"/>
        <v>0</v>
      </c>
      <c r="H528" s="113">
        <f>H529+H530</f>
        <v>0</v>
      </c>
      <c r="I528" s="114">
        <f>I529+I530</f>
        <v>0</v>
      </c>
      <c r="J528" s="112">
        <f t="shared" si="337"/>
        <v>138000</v>
      </c>
      <c r="K528" s="113">
        <f t="shared" si="354"/>
        <v>138000</v>
      </c>
      <c r="L528" s="114">
        <f t="shared" si="355"/>
        <v>0</v>
      </c>
      <c r="M528" s="112">
        <f t="shared" si="338"/>
        <v>0</v>
      </c>
      <c r="N528" s="113">
        <f>N529+N530</f>
        <v>0</v>
      </c>
      <c r="O528" s="114">
        <f>O529+O530</f>
        <v>0</v>
      </c>
      <c r="P528" s="112">
        <f t="shared" si="339"/>
        <v>138000</v>
      </c>
      <c r="Q528" s="113">
        <f t="shared" si="356"/>
        <v>138000</v>
      </c>
      <c r="R528" s="114">
        <f t="shared" si="357"/>
        <v>0</v>
      </c>
      <c r="S528" s="112">
        <f t="shared" si="352"/>
        <v>0</v>
      </c>
      <c r="T528" s="113">
        <f>T529+T530</f>
        <v>0</v>
      </c>
      <c r="U528" s="114">
        <f>U529+U530</f>
        <v>0</v>
      </c>
      <c r="V528" s="112">
        <f t="shared" si="341"/>
        <v>138000</v>
      </c>
      <c r="W528" s="113">
        <f t="shared" si="358"/>
        <v>138000</v>
      </c>
      <c r="X528" s="114">
        <f t="shared" si="359"/>
        <v>0</v>
      </c>
      <c r="Y528" s="112">
        <f t="shared" si="353"/>
        <v>0</v>
      </c>
      <c r="Z528" s="113">
        <f>Z529+Z530</f>
        <v>0</v>
      </c>
      <c r="AA528" s="114">
        <f>AA529+AA530</f>
        <v>0</v>
      </c>
      <c r="AB528" s="112">
        <f t="shared" si="343"/>
        <v>138000</v>
      </c>
      <c r="AC528" s="113">
        <f t="shared" si="360"/>
        <v>138000</v>
      </c>
      <c r="AD528" s="114">
        <f t="shared" si="361"/>
        <v>0</v>
      </c>
      <c r="AF528" s="46">
        <f t="shared" si="327"/>
        <v>0</v>
      </c>
      <c r="AG528" s="46"/>
    </row>
    <row r="529" spans="1:33" s="120" customFormat="1" ht="9.75" customHeight="1">
      <c r="A529" s="354"/>
      <c r="B529" s="115"/>
      <c r="C529" s="116" t="s">
        <v>179</v>
      </c>
      <c r="D529" s="117">
        <v>130000</v>
      </c>
      <c r="E529" s="118">
        <v>130000</v>
      </c>
      <c r="F529" s="186">
        <v>0</v>
      </c>
      <c r="G529" s="117">
        <f t="shared" si="336"/>
        <v>0</v>
      </c>
      <c r="H529" s="118"/>
      <c r="I529" s="186">
        <v>0</v>
      </c>
      <c r="J529" s="117">
        <f t="shared" si="337"/>
        <v>130000</v>
      </c>
      <c r="K529" s="118">
        <f t="shared" si="354"/>
        <v>130000</v>
      </c>
      <c r="L529" s="186">
        <f t="shared" si="355"/>
        <v>0</v>
      </c>
      <c r="M529" s="117">
        <f t="shared" si="338"/>
        <v>0</v>
      </c>
      <c r="N529" s="118"/>
      <c r="O529" s="186">
        <v>0</v>
      </c>
      <c r="P529" s="117">
        <f t="shared" si="339"/>
        <v>130000</v>
      </c>
      <c r="Q529" s="118">
        <f t="shared" si="356"/>
        <v>130000</v>
      </c>
      <c r="R529" s="186">
        <f t="shared" si="357"/>
        <v>0</v>
      </c>
      <c r="S529" s="117">
        <f t="shared" si="352"/>
        <v>0</v>
      </c>
      <c r="T529" s="118"/>
      <c r="U529" s="186">
        <v>0</v>
      </c>
      <c r="V529" s="117">
        <f t="shared" si="341"/>
        <v>130000</v>
      </c>
      <c r="W529" s="118">
        <f t="shared" si="358"/>
        <v>130000</v>
      </c>
      <c r="X529" s="186">
        <f t="shared" si="359"/>
        <v>0</v>
      </c>
      <c r="Y529" s="117">
        <f t="shared" si="353"/>
        <v>0</v>
      </c>
      <c r="Z529" s="118"/>
      <c r="AA529" s="186"/>
      <c r="AB529" s="117">
        <f t="shared" si="343"/>
        <v>130000</v>
      </c>
      <c r="AC529" s="118">
        <f t="shared" si="360"/>
        <v>130000</v>
      </c>
      <c r="AD529" s="186">
        <f t="shared" si="361"/>
        <v>0</v>
      </c>
      <c r="AF529" s="46">
        <f t="shared" si="327"/>
        <v>0</v>
      </c>
      <c r="AG529" s="46"/>
    </row>
    <row r="530" spans="1:33" s="120" customFormat="1" ht="12.75">
      <c r="A530" s="354"/>
      <c r="B530" s="254"/>
      <c r="C530" s="255" t="s">
        <v>46</v>
      </c>
      <c r="D530" s="141">
        <v>8000</v>
      </c>
      <c r="E530" s="142">
        <v>8000</v>
      </c>
      <c r="F530" s="128">
        <v>0</v>
      </c>
      <c r="G530" s="141">
        <f t="shared" si="336"/>
        <v>0</v>
      </c>
      <c r="H530" s="142"/>
      <c r="I530" s="128">
        <v>0</v>
      </c>
      <c r="J530" s="141">
        <f t="shared" si="337"/>
        <v>8000</v>
      </c>
      <c r="K530" s="142">
        <f t="shared" si="354"/>
        <v>8000</v>
      </c>
      <c r="L530" s="128">
        <f t="shared" si="355"/>
        <v>0</v>
      </c>
      <c r="M530" s="141">
        <f t="shared" si="338"/>
        <v>0</v>
      </c>
      <c r="N530" s="142"/>
      <c r="O530" s="128">
        <v>0</v>
      </c>
      <c r="P530" s="141">
        <f t="shared" si="339"/>
        <v>8000</v>
      </c>
      <c r="Q530" s="142">
        <f t="shared" si="356"/>
        <v>8000</v>
      </c>
      <c r="R530" s="128">
        <f t="shared" si="357"/>
        <v>0</v>
      </c>
      <c r="S530" s="141">
        <f t="shared" si="352"/>
        <v>0</v>
      </c>
      <c r="T530" s="142"/>
      <c r="U530" s="128">
        <v>0</v>
      </c>
      <c r="V530" s="141">
        <f t="shared" si="341"/>
        <v>8000</v>
      </c>
      <c r="W530" s="142">
        <f t="shared" si="358"/>
        <v>8000</v>
      </c>
      <c r="X530" s="128">
        <f t="shared" si="359"/>
        <v>0</v>
      </c>
      <c r="Y530" s="141">
        <f t="shared" si="353"/>
        <v>0</v>
      </c>
      <c r="Z530" s="142"/>
      <c r="AA530" s="128"/>
      <c r="AB530" s="141">
        <f t="shared" si="343"/>
        <v>8000</v>
      </c>
      <c r="AC530" s="142">
        <f t="shared" si="360"/>
        <v>8000</v>
      </c>
      <c r="AD530" s="128">
        <f t="shared" si="361"/>
        <v>0</v>
      </c>
      <c r="AF530" s="46">
        <f t="shared" si="327"/>
        <v>0</v>
      </c>
      <c r="AG530" s="46"/>
    </row>
    <row r="531" spans="1:33" ht="12.75">
      <c r="A531" s="354"/>
      <c r="B531" s="133">
        <v>921</v>
      </c>
      <c r="C531" s="134" t="s">
        <v>189</v>
      </c>
      <c r="D531" s="75">
        <v>21132667</v>
      </c>
      <c r="E531" s="76">
        <v>19572667</v>
      </c>
      <c r="F531" s="158">
        <v>1560000</v>
      </c>
      <c r="G531" s="75">
        <f t="shared" si="336"/>
        <v>500000</v>
      </c>
      <c r="H531" s="76">
        <f>H532+H540+H542</f>
        <v>500000</v>
      </c>
      <c r="I531" s="158">
        <f>I532+I540+I542</f>
        <v>0</v>
      </c>
      <c r="J531" s="75">
        <f t="shared" si="337"/>
        <v>21632667</v>
      </c>
      <c r="K531" s="76">
        <f>K532+K540+K542</f>
        <v>20072667</v>
      </c>
      <c r="L531" s="158">
        <f>L532+L540+L542</f>
        <v>1560000</v>
      </c>
      <c r="M531" s="75">
        <f t="shared" si="338"/>
        <v>0</v>
      </c>
      <c r="N531" s="76">
        <f>N532+N540+N542</f>
        <v>0</v>
      </c>
      <c r="O531" s="158">
        <f>O532+O540+O542</f>
        <v>0</v>
      </c>
      <c r="P531" s="75">
        <f t="shared" si="339"/>
        <v>21632667</v>
      </c>
      <c r="Q531" s="76">
        <f>Q532+Q540+Q542</f>
        <v>20072667</v>
      </c>
      <c r="R531" s="158">
        <f>R532+R540+R542</f>
        <v>1560000</v>
      </c>
      <c r="S531" s="75">
        <f t="shared" si="352"/>
        <v>660000</v>
      </c>
      <c r="T531" s="76">
        <f>T532+T540+T542</f>
        <v>660000</v>
      </c>
      <c r="U531" s="158">
        <f>U532+U540+U542</f>
        <v>0</v>
      </c>
      <c r="V531" s="75">
        <f t="shared" si="341"/>
        <v>22292667</v>
      </c>
      <c r="W531" s="76">
        <f>W532+W538+W540+W542</f>
        <v>20732667</v>
      </c>
      <c r="X531" s="158">
        <f>X532+X538+X540+X542</f>
        <v>1560000</v>
      </c>
      <c r="Y531" s="75">
        <f t="shared" si="353"/>
        <v>0</v>
      </c>
      <c r="Z531" s="76">
        <f>Z532+Z538+Z540+Z542</f>
        <v>0</v>
      </c>
      <c r="AA531" s="158">
        <f>AA532+AA538+AA540+AA542</f>
        <v>0</v>
      </c>
      <c r="AB531" s="75">
        <f t="shared" si="343"/>
        <v>22292667</v>
      </c>
      <c r="AC531" s="76">
        <f>AC532+AC538+AC540+AC542</f>
        <v>20732667</v>
      </c>
      <c r="AD531" s="158">
        <f>AD532+AD538+AD540+AD542</f>
        <v>1560000</v>
      </c>
      <c r="AF531" s="46">
        <f t="shared" si="327"/>
        <v>0</v>
      </c>
      <c r="AG531" s="46"/>
    </row>
    <row r="532" spans="1:33" ht="12.75">
      <c r="A532" s="354"/>
      <c r="B532" s="254">
        <v>92106</v>
      </c>
      <c r="C532" s="255" t="s">
        <v>297</v>
      </c>
      <c r="D532" s="112">
        <v>14498829</v>
      </c>
      <c r="E532" s="142">
        <v>13973829</v>
      </c>
      <c r="F532" s="143">
        <v>525000</v>
      </c>
      <c r="G532" s="112">
        <f>I532+H532</f>
        <v>0</v>
      </c>
      <c r="H532" s="142">
        <f>SUM(H533:H536)</f>
        <v>0</v>
      </c>
      <c r="I532" s="143">
        <f>SUM(I533:I536)</f>
        <v>0</v>
      </c>
      <c r="J532" s="112">
        <f>L532+K532</f>
        <v>14498829</v>
      </c>
      <c r="K532" s="142">
        <f aca="true" t="shared" si="362" ref="K532:K543">E532+H532</f>
        <v>13973829</v>
      </c>
      <c r="L532" s="143">
        <f aca="true" t="shared" si="363" ref="L532:L543">I532+F532</f>
        <v>525000</v>
      </c>
      <c r="M532" s="112">
        <f>O532+N532</f>
        <v>0</v>
      </c>
      <c r="N532" s="142">
        <f>SUM(N533:N536)</f>
        <v>0</v>
      </c>
      <c r="O532" s="143">
        <f>SUM(O533:O536)</f>
        <v>0</v>
      </c>
      <c r="P532" s="112">
        <f>R532+Q532</f>
        <v>14498829</v>
      </c>
      <c r="Q532" s="142">
        <f aca="true" t="shared" si="364" ref="Q532:Q543">K532+N532</f>
        <v>13973829</v>
      </c>
      <c r="R532" s="143">
        <f aca="true" t="shared" si="365" ref="R532:R543">O532+L532</f>
        <v>525000</v>
      </c>
      <c r="S532" s="112">
        <f>U532+T532</f>
        <v>210000</v>
      </c>
      <c r="T532" s="142">
        <f>SUM(T533:T537)</f>
        <v>210000</v>
      </c>
      <c r="U532" s="143">
        <f>SUM(U533:U537)</f>
        <v>0</v>
      </c>
      <c r="V532" s="112">
        <f>X532+W532</f>
        <v>14708829</v>
      </c>
      <c r="W532" s="142">
        <f aca="true" t="shared" si="366" ref="W532:W544">Q532+T532</f>
        <v>14183829</v>
      </c>
      <c r="X532" s="143">
        <f aca="true" t="shared" si="367" ref="X532:X544">U532+R532</f>
        <v>525000</v>
      </c>
      <c r="Y532" s="112">
        <f>AA532+Z532</f>
        <v>0</v>
      </c>
      <c r="Z532" s="142">
        <f>SUM(Z533:Z537)</f>
        <v>0</v>
      </c>
      <c r="AA532" s="143">
        <f>SUM(AA533:AA537)</f>
        <v>0</v>
      </c>
      <c r="AB532" s="112">
        <f>AD532+AC532</f>
        <v>14708829</v>
      </c>
      <c r="AC532" s="142">
        <f aca="true" t="shared" si="368" ref="AC532:AC544">W532+Z532</f>
        <v>14183829</v>
      </c>
      <c r="AD532" s="143">
        <f aca="true" t="shared" si="369" ref="AD532:AD544">AA532+X532</f>
        <v>525000</v>
      </c>
      <c r="AF532" s="46">
        <f t="shared" si="327"/>
        <v>0</v>
      </c>
      <c r="AG532" s="46"/>
    </row>
    <row r="533" spans="1:33" ht="12.75">
      <c r="A533" s="354"/>
      <c r="B533" s="108"/>
      <c r="C533" s="90" t="s">
        <v>298</v>
      </c>
      <c r="D533" s="91">
        <v>2828625</v>
      </c>
      <c r="E533" s="118">
        <v>2698625</v>
      </c>
      <c r="F533" s="119">
        <v>130000</v>
      </c>
      <c r="G533" s="91">
        <f>H533+I533</f>
        <v>0</v>
      </c>
      <c r="H533" s="118"/>
      <c r="I533" s="119"/>
      <c r="J533" s="91">
        <f>K533+L533</f>
        <v>2828625</v>
      </c>
      <c r="K533" s="118">
        <f t="shared" si="362"/>
        <v>2698625</v>
      </c>
      <c r="L533" s="119">
        <f t="shared" si="363"/>
        <v>130000</v>
      </c>
      <c r="M533" s="91">
        <f>N533+O533</f>
        <v>0</v>
      </c>
      <c r="N533" s="118"/>
      <c r="O533" s="119"/>
      <c r="P533" s="91">
        <f>Q533+R533</f>
        <v>2828625</v>
      </c>
      <c r="Q533" s="118">
        <f t="shared" si="364"/>
        <v>2698625</v>
      </c>
      <c r="R533" s="119">
        <f t="shared" si="365"/>
        <v>130000</v>
      </c>
      <c r="S533" s="91">
        <f>T533+U533</f>
        <v>0</v>
      </c>
      <c r="T533" s="118"/>
      <c r="U533" s="119"/>
      <c r="V533" s="91">
        <f>W533+X533</f>
        <v>2828625</v>
      </c>
      <c r="W533" s="118">
        <f t="shared" si="366"/>
        <v>2698625</v>
      </c>
      <c r="X533" s="119">
        <f t="shared" si="367"/>
        <v>130000</v>
      </c>
      <c r="Y533" s="91">
        <f>Z533+AA533</f>
        <v>0</v>
      </c>
      <c r="Z533" s="118"/>
      <c r="AA533" s="119"/>
      <c r="AB533" s="91">
        <f>AC533+AD533</f>
        <v>2828625</v>
      </c>
      <c r="AC533" s="118">
        <f t="shared" si="368"/>
        <v>2698625</v>
      </c>
      <c r="AD533" s="119">
        <f t="shared" si="369"/>
        <v>130000</v>
      </c>
      <c r="AF533" s="46">
        <f t="shared" si="327"/>
        <v>0</v>
      </c>
      <c r="AG533" s="46"/>
    </row>
    <row r="534" spans="1:33" ht="12.75">
      <c r="A534" s="354"/>
      <c r="B534" s="108"/>
      <c r="C534" s="90" t="s">
        <v>299</v>
      </c>
      <c r="D534" s="91">
        <v>6296723</v>
      </c>
      <c r="E534" s="92">
        <v>5971723</v>
      </c>
      <c r="F534" s="186">
        <v>325000</v>
      </c>
      <c r="G534" s="91">
        <f>H534+I534</f>
        <v>0</v>
      </c>
      <c r="H534" s="92"/>
      <c r="I534" s="186"/>
      <c r="J534" s="91">
        <f>K534+L534</f>
        <v>6296723</v>
      </c>
      <c r="K534" s="92">
        <f t="shared" si="362"/>
        <v>5971723</v>
      </c>
      <c r="L534" s="186">
        <f t="shared" si="363"/>
        <v>325000</v>
      </c>
      <c r="M534" s="91">
        <f>N534+O534</f>
        <v>0</v>
      </c>
      <c r="N534" s="92"/>
      <c r="O534" s="186"/>
      <c r="P534" s="91">
        <f>Q534+R534</f>
        <v>6296723</v>
      </c>
      <c r="Q534" s="92">
        <f t="shared" si="364"/>
        <v>5971723</v>
      </c>
      <c r="R534" s="186">
        <f t="shared" si="365"/>
        <v>325000</v>
      </c>
      <c r="S534" s="91">
        <f>T534+U534</f>
        <v>50000</v>
      </c>
      <c r="T534" s="92">
        <v>50000</v>
      </c>
      <c r="U534" s="186"/>
      <c r="V534" s="91">
        <f>W534+X534</f>
        <v>6346723</v>
      </c>
      <c r="W534" s="92">
        <f t="shared" si="366"/>
        <v>6021723</v>
      </c>
      <c r="X534" s="186">
        <f t="shared" si="367"/>
        <v>325000</v>
      </c>
      <c r="Y534" s="91">
        <f>Z534+AA534</f>
        <v>0</v>
      </c>
      <c r="Z534" s="92"/>
      <c r="AA534" s="186"/>
      <c r="AB534" s="91">
        <f>AC534+AD534</f>
        <v>6346723</v>
      </c>
      <c r="AC534" s="92">
        <f t="shared" si="368"/>
        <v>6021723</v>
      </c>
      <c r="AD534" s="186">
        <f t="shared" si="369"/>
        <v>325000</v>
      </c>
      <c r="AF534" s="46">
        <f t="shared" si="327"/>
        <v>0</v>
      </c>
      <c r="AG534" s="46"/>
    </row>
    <row r="535" spans="1:33" ht="12.75">
      <c r="A535" s="354"/>
      <c r="B535" s="108"/>
      <c r="C535" s="90" t="s">
        <v>300</v>
      </c>
      <c r="D535" s="91">
        <v>4292876</v>
      </c>
      <c r="E535" s="92">
        <v>4222876</v>
      </c>
      <c r="F535" s="186">
        <v>70000</v>
      </c>
      <c r="G535" s="91">
        <f>H535+I535</f>
        <v>0</v>
      </c>
      <c r="H535" s="92"/>
      <c r="I535" s="186"/>
      <c r="J535" s="91">
        <f>K535+L535</f>
        <v>4292876</v>
      </c>
      <c r="K535" s="92">
        <f t="shared" si="362"/>
        <v>4222876</v>
      </c>
      <c r="L535" s="186">
        <f t="shared" si="363"/>
        <v>70000</v>
      </c>
      <c r="M535" s="91">
        <f>N535+O535</f>
        <v>0</v>
      </c>
      <c r="N535" s="92"/>
      <c r="O535" s="186"/>
      <c r="P535" s="91">
        <f>Q535+R535</f>
        <v>4292876</v>
      </c>
      <c r="Q535" s="92">
        <f t="shared" si="364"/>
        <v>4222876</v>
      </c>
      <c r="R535" s="186">
        <f t="shared" si="365"/>
        <v>70000</v>
      </c>
      <c r="S535" s="91">
        <f>T535+U535</f>
        <v>60000</v>
      </c>
      <c r="T535" s="92">
        <v>60000</v>
      </c>
      <c r="U535" s="186"/>
      <c r="V535" s="91">
        <f>W535+X535</f>
        <v>4352876</v>
      </c>
      <c r="W535" s="92">
        <f t="shared" si="366"/>
        <v>4282876</v>
      </c>
      <c r="X535" s="186">
        <f t="shared" si="367"/>
        <v>70000</v>
      </c>
      <c r="Y535" s="91">
        <f>Z535+AA535</f>
        <v>0</v>
      </c>
      <c r="Z535" s="92"/>
      <c r="AA535" s="186"/>
      <c r="AB535" s="91">
        <f>AC535+AD535</f>
        <v>4352876</v>
      </c>
      <c r="AC535" s="92">
        <f t="shared" si="368"/>
        <v>4282876</v>
      </c>
      <c r="AD535" s="186">
        <f t="shared" si="369"/>
        <v>70000</v>
      </c>
      <c r="AF535" s="46">
        <f t="shared" si="327"/>
        <v>0</v>
      </c>
      <c r="AG535" s="46"/>
    </row>
    <row r="536" spans="1:33" s="9" customFormat="1" ht="12.75">
      <c r="A536" s="376"/>
      <c r="B536" s="108"/>
      <c r="C536" s="90" t="s">
        <v>301</v>
      </c>
      <c r="D536" s="91">
        <v>1080605</v>
      </c>
      <c r="E536" s="92">
        <v>1080605</v>
      </c>
      <c r="F536" s="186">
        <v>0</v>
      </c>
      <c r="G536" s="91">
        <f>H536+I536</f>
        <v>0</v>
      </c>
      <c r="H536" s="92"/>
      <c r="I536" s="186">
        <v>0</v>
      </c>
      <c r="J536" s="91">
        <f>K536+L536</f>
        <v>1080605</v>
      </c>
      <c r="K536" s="92">
        <f t="shared" si="362"/>
        <v>1080605</v>
      </c>
      <c r="L536" s="186">
        <f t="shared" si="363"/>
        <v>0</v>
      </c>
      <c r="M536" s="91">
        <f>N536+O536</f>
        <v>0</v>
      </c>
      <c r="N536" s="92"/>
      <c r="O536" s="186">
        <v>0</v>
      </c>
      <c r="P536" s="91">
        <f>Q536+R536</f>
        <v>1080605</v>
      </c>
      <c r="Q536" s="92">
        <f t="shared" si="364"/>
        <v>1080605</v>
      </c>
      <c r="R536" s="186">
        <f t="shared" si="365"/>
        <v>0</v>
      </c>
      <c r="S536" s="91">
        <f>T536+U536</f>
        <v>0</v>
      </c>
      <c r="T536" s="92"/>
      <c r="U536" s="186">
        <v>0</v>
      </c>
      <c r="V536" s="91">
        <f>W536+X536</f>
        <v>1080605</v>
      </c>
      <c r="W536" s="92">
        <f t="shared" si="366"/>
        <v>1080605</v>
      </c>
      <c r="X536" s="186">
        <f t="shared" si="367"/>
        <v>0</v>
      </c>
      <c r="Y536" s="91">
        <f>Z536+AA536</f>
        <v>0</v>
      </c>
      <c r="Z536" s="92"/>
      <c r="AA536" s="186"/>
      <c r="AB536" s="91">
        <f>AC536+AD536</f>
        <v>1080605</v>
      </c>
      <c r="AC536" s="92">
        <f t="shared" si="368"/>
        <v>1080605</v>
      </c>
      <c r="AD536" s="186">
        <f t="shared" si="369"/>
        <v>0</v>
      </c>
      <c r="AF536" s="46">
        <f t="shared" si="327"/>
        <v>0</v>
      </c>
      <c r="AG536" s="46"/>
    </row>
    <row r="537" spans="1:33" s="9" customFormat="1" ht="12.75" customHeight="1">
      <c r="A537" s="376"/>
      <c r="B537" s="140"/>
      <c r="C537" s="129" t="s">
        <v>327</v>
      </c>
      <c r="D537" s="112"/>
      <c r="E537" s="113"/>
      <c r="F537" s="128"/>
      <c r="G537" s="112"/>
      <c r="H537" s="113"/>
      <c r="I537" s="128"/>
      <c r="J537" s="112"/>
      <c r="K537" s="113"/>
      <c r="L537" s="128"/>
      <c r="M537" s="112"/>
      <c r="N537" s="113"/>
      <c r="O537" s="128"/>
      <c r="P537" s="112"/>
      <c r="Q537" s="113"/>
      <c r="R537" s="128"/>
      <c r="S537" s="112">
        <f>T537+U537</f>
        <v>100000</v>
      </c>
      <c r="T537" s="113">
        <v>100000</v>
      </c>
      <c r="U537" s="128"/>
      <c r="V537" s="91">
        <f>W537+X537</f>
        <v>100000</v>
      </c>
      <c r="W537" s="92">
        <f>Q537+T537</f>
        <v>100000</v>
      </c>
      <c r="X537" s="186">
        <f>U537+R537</f>
        <v>0</v>
      </c>
      <c r="Y537" s="112">
        <f>Z537+AA537</f>
        <v>0</v>
      </c>
      <c r="Z537" s="113"/>
      <c r="AA537" s="128"/>
      <c r="AB537" s="91">
        <f>AC537+AD537</f>
        <v>100000</v>
      </c>
      <c r="AC537" s="92">
        <f t="shared" si="368"/>
        <v>100000</v>
      </c>
      <c r="AD537" s="186">
        <f t="shared" si="369"/>
        <v>0</v>
      </c>
      <c r="AF537" s="46">
        <f t="shared" si="327"/>
        <v>0</v>
      </c>
      <c r="AG537" s="46"/>
    </row>
    <row r="538" spans="1:33" ht="12.75">
      <c r="A538" s="354"/>
      <c r="B538" s="106">
        <v>92108</v>
      </c>
      <c r="C538" s="83" t="s">
        <v>338</v>
      </c>
      <c r="D538" s="165">
        <f aca="true" t="shared" si="370" ref="D538:J538">D539</f>
        <v>0</v>
      </c>
      <c r="E538" s="138">
        <f t="shared" si="370"/>
        <v>0</v>
      </c>
      <c r="F538" s="178">
        <f t="shared" si="370"/>
        <v>0</v>
      </c>
      <c r="G538" s="165">
        <f t="shared" si="370"/>
        <v>0</v>
      </c>
      <c r="H538" s="138">
        <f t="shared" si="370"/>
        <v>0</v>
      </c>
      <c r="I538" s="178">
        <f t="shared" si="370"/>
        <v>0</v>
      </c>
      <c r="J538" s="165">
        <f t="shared" si="370"/>
        <v>0</v>
      </c>
      <c r="K538" s="138">
        <f>E538+H538</f>
        <v>0</v>
      </c>
      <c r="L538" s="178">
        <f>I538+F538</f>
        <v>0</v>
      </c>
      <c r="M538" s="165">
        <f>M539</f>
        <v>0</v>
      </c>
      <c r="N538" s="138">
        <f>N539</f>
        <v>0</v>
      </c>
      <c r="O538" s="178">
        <f>O539</f>
        <v>0</v>
      </c>
      <c r="P538" s="165">
        <f>P539</f>
        <v>0</v>
      </c>
      <c r="Q538" s="138">
        <f>K538+N538</f>
        <v>0</v>
      </c>
      <c r="R538" s="178">
        <f>O538+L538</f>
        <v>0</v>
      </c>
      <c r="S538" s="165">
        <f>S539</f>
        <v>0</v>
      </c>
      <c r="T538" s="138">
        <f>T539</f>
        <v>0</v>
      </c>
      <c r="U538" s="178">
        <f>U539</f>
        <v>0</v>
      </c>
      <c r="V538" s="165">
        <f>V539</f>
        <v>0</v>
      </c>
      <c r="W538" s="138">
        <f>Q538+T538</f>
        <v>0</v>
      </c>
      <c r="X538" s="178">
        <f>U538+R538</f>
        <v>0</v>
      </c>
      <c r="Y538" s="165">
        <f>Y539</f>
        <v>187000</v>
      </c>
      <c r="Z538" s="138">
        <f>Z539</f>
        <v>187000</v>
      </c>
      <c r="AA538" s="178">
        <f>AA539</f>
        <v>0</v>
      </c>
      <c r="AB538" s="165">
        <f>AB539</f>
        <v>187000</v>
      </c>
      <c r="AC538" s="138">
        <f>W538+Z538</f>
        <v>187000</v>
      </c>
      <c r="AD538" s="178">
        <f>AA538+X538</f>
        <v>0</v>
      </c>
      <c r="AF538" s="46">
        <f>V538-(S538+P538)</f>
        <v>0</v>
      </c>
      <c r="AG538" s="46"/>
    </row>
    <row r="539" spans="1:33" ht="12.75">
      <c r="A539" s="354"/>
      <c r="B539" s="106"/>
      <c r="C539" s="83" t="s">
        <v>327</v>
      </c>
      <c r="D539" s="80">
        <f>E539+F539</f>
        <v>0</v>
      </c>
      <c r="E539" s="138"/>
      <c r="F539" s="139"/>
      <c r="G539" s="80">
        <f>H539+I539</f>
        <v>0</v>
      </c>
      <c r="H539" s="138"/>
      <c r="I539" s="139"/>
      <c r="J539" s="80">
        <f>K539+L539</f>
        <v>0</v>
      </c>
      <c r="K539" s="138">
        <f>E539+H539</f>
        <v>0</v>
      </c>
      <c r="L539" s="139">
        <f>I539+F539</f>
        <v>0</v>
      </c>
      <c r="M539" s="80">
        <f>N539+O539</f>
        <v>0</v>
      </c>
      <c r="N539" s="138"/>
      <c r="O539" s="139"/>
      <c r="P539" s="80">
        <f>Q539+R539</f>
        <v>0</v>
      </c>
      <c r="Q539" s="138">
        <f>K539+N539</f>
        <v>0</v>
      </c>
      <c r="R539" s="139">
        <f>O539+L539</f>
        <v>0</v>
      </c>
      <c r="S539" s="80">
        <f>T539+U539</f>
        <v>0</v>
      </c>
      <c r="T539" s="138"/>
      <c r="U539" s="139"/>
      <c r="V539" s="80">
        <f>W539+X539</f>
        <v>0</v>
      </c>
      <c r="W539" s="138">
        <f>Q539+T539</f>
        <v>0</v>
      </c>
      <c r="X539" s="139">
        <f>U539+R539</f>
        <v>0</v>
      </c>
      <c r="Y539" s="80">
        <f>Z539+AA539</f>
        <v>187000</v>
      </c>
      <c r="Z539" s="138">
        <v>187000</v>
      </c>
      <c r="AA539" s="139"/>
      <c r="AB539" s="80">
        <f>AC539+AD539</f>
        <v>187000</v>
      </c>
      <c r="AC539" s="138">
        <f>W539+Z539</f>
        <v>187000</v>
      </c>
      <c r="AD539" s="139">
        <f>AA539+X539</f>
        <v>0</v>
      </c>
      <c r="AF539" s="46">
        <f>V539-(S539+P539)</f>
        <v>0</v>
      </c>
      <c r="AG539" s="46"/>
    </row>
    <row r="540" spans="1:33" ht="12.75">
      <c r="A540" s="354"/>
      <c r="B540" s="106">
        <v>92113</v>
      </c>
      <c r="C540" s="129" t="s">
        <v>196</v>
      </c>
      <c r="D540" s="165">
        <v>2102958</v>
      </c>
      <c r="E540" s="138">
        <v>2067958</v>
      </c>
      <c r="F540" s="178">
        <v>35000</v>
      </c>
      <c r="G540" s="165">
        <f>G541</f>
        <v>0</v>
      </c>
      <c r="H540" s="138">
        <f>H541</f>
        <v>0</v>
      </c>
      <c r="I540" s="178">
        <f>I541</f>
        <v>0</v>
      </c>
      <c r="J540" s="165">
        <f>J541</f>
        <v>2102958</v>
      </c>
      <c r="K540" s="138">
        <f t="shared" si="362"/>
        <v>2067958</v>
      </c>
      <c r="L540" s="178">
        <f t="shared" si="363"/>
        <v>35000</v>
      </c>
      <c r="M540" s="165">
        <f>M541</f>
        <v>0</v>
      </c>
      <c r="N540" s="138">
        <f>N541</f>
        <v>0</v>
      </c>
      <c r="O540" s="178">
        <f>O541</f>
        <v>0</v>
      </c>
      <c r="P540" s="165">
        <f>P541</f>
        <v>2102958</v>
      </c>
      <c r="Q540" s="138">
        <f t="shared" si="364"/>
        <v>2067958</v>
      </c>
      <c r="R540" s="178">
        <f t="shared" si="365"/>
        <v>35000</v>
      </c>
      <c r="S540" s="165">
        <f>S541</f>
        <v>80000</v>
      </c>
      <c r="T540" s="138">
        <f>T541</f>
        <v>80000</v>
      </c>
      <c r="U540" s="178">
        <f>U541</f>
        <v>0</v>
      </c>
      <c r="V540" s="165">
        <f>V541</f>
        <v>2182958</v>
      </c>
      <c r="W540" s="138">
        <f t="shared" si="366"/>
        <v>2147958</v>
      </c>
      <c r="X540" s="178">
        <f t="shared" si="367"/>
        <v>35000</v>
      </c>
      <c r="Y540" s="165">
        <f>Y541</f>
        <v>0</v>
      </c>
      <c r="Z540" s="138">
        <f>Z541</f>
        <v>0</v>
      </c>
      <c r="AA540" s="178">
        <f>AA541</f>
        <v>0</v>
      </c>
      <c r="AB540" s="165">
        <f>AB541</f>
        <v>2182958</v>
      </c>
      <c r="AC540" s="138">
        <f t="shared" si="368"/>
        <v>2147958</v>
      </c>
      <c r="AD540" s="178">
        <f t="shared" si="369"/>
        <v>35000</v>
      </c>
      <c r="AF540" s="46">
        <f t="shared" si="327"/>
        <v>0</v>
      </c>
      <c r="AG540" s="46"/>
    </row>
    <row r="541" spans="1:33" ht="12.75">
      <c r="A541" s="354"/>
      <c r="B541" s="106"/>
      <c r="C541" s="83" t="s">
        <v>237</v>
      </c>
      <c r="D541" s="80">
        <v>2102958</v>
      </c>
      <c r="E541" s="138">
        <v>2067958</v>
      </c>
      <c r="F541" s="139">
        <v>35000</v>
      </c>
      <c r="G541" s="80">
        <f>H541+I541</f>
        <v>0</v>
      </c>
      <c r="H541" s="138"/>
      <c r="I541" s="139"/>
      <c r="J541" s="80">
        <f>K541+L541</f>
        <v>2102958</v>
      </c>
      <c r="K541" s="138">
        <f t="shared" si="362"/>
        <v>2067958</v>
      </c>
      <c r="L541" s="139">
        <f t="shared" si="363"/>
        <v>35000</v>
      </c>
      <c r="M541" s="80">
        <f>N541+O541</f>
        <v>0</v>
      </c>
      <c r="N541" s="138"/>
      <c r="O541" s="139"/>
      <c r="P541" s="80">
        <f>Q541+R541</f>
        <v>2102958</v>
      </c>
      <c r="Q541" s="138">
        <f t="shared" si="364"/>
        <v>2067958</v>
      </c>
      <c r="R541" s="139">
        <f t="shared" si="365"/>
        <v>35000</v>
      </c>
      <c r="S541" s="80">
        <f>T541+U541</f>
        <v>80000</v>
      </c>
      <c r="T541" s="138">
        <v>80000</v>
      </c>
      <c r="U541" s="139"/>
      <c r="V541" s="80">
        <f>W541+X541</f>
        <v>2182958</v>
      </c>
      <c r="W541" s="138">
        <f t="shared" si="366"/>
        <v>2147958</v>
      </c>
      <c r="X541" s="139">
        <f t="shared" si="367"/>
        <v>35000</v>
      </c>
      <c r="Y541" s="80">
        <f>Z541+AA541</f>
        <v>0</v>
      </c>
      <c r="Z541" s="138"/>
      <c r="AA541" s="139"/>
      <c r="AB541" s="80">
        <f>AC541+AD541</f>
        <v>2182958</v>
      </c>
      <c r="AC541" s="138">
        <f t="shared" si="368"/>
        <v>2147958</v>
      </c>
      <c r="AD541" s="139">
        <f t="shared" si="369"/>
        <v>35000</v>
      </c>
      <c r="AF541" s="46">
        <f t="shared" si="327"/>
        <v>0</v>
      </c>
      <c r="AG541" s="46"/>
    </row>
    <row r="542" spans="1:33" ht="12.75">
      <c r="A542" s="354"/>
      <c r="B542" s="106">
        <v>92114</v>
      </c>
      <c r="C542" s="83" t="s">
        <v>198</v>
      </c>
      <c r="D542" s="165">
        <v>4530880</v>
      </c>
      <c r="E542" s="138">
        <v>3530880</v>
      </c>
      <c r="F542" s="178">
        <v>1000000</v>
      </c>
      <c r="G542" s="165">
        <f>G543</f>
        <v>500000</v>
      </c>
      <c r="H542" s="138">
        <f>H543</f>
        <v>500000</v>
      </c>
      <c r="I542" s="178">
        <f>I543</f>
        <v>0</v>
      </c>
      <c r="J542" s="165">
        <f>J543</f>
        <v>5030880</v>
      </c>
      <c r="K542" s="138">
        <f t="shared" si="362"/>
        <v>4030880</v>
      </c>
      <c r="L542" s="178">
        <f t="shared" si="363"/>
        <v>1000000</v>
      </c>
      <c r="M542" s="165">
        <f>M543</f>
        <v>0</v>
      </c>
      <c r="N542" s="138">
        <f>N543</f>
        <v>0</v>
      </c>
      <c r="O542" s="178">
        <f>O543</f>
        <v>0</v>
      </c>
      <c r="P542" s="165">
        <f>P543</f>
        <v>5030880</v>
      </c>
      <c r="Q542" s="138">
        <f t="shared" si="364"/>
        <v>4030880</v>
      </c>
      <c r="R542" s="178">
        <f t="shared" si="365"/>
        <v>1000000</v>
      </c>
      <c r="S542" s="165">
        <f>S543+S544</f>
        <v>370000</v>
      </c>
      <c r="T542" s="138">
        <f>T543+T544</f>
        <v>370000</v>
      </c>
      <c r="U542" s="178">
        <f>U543</f>
        <v>0</v>
      </c>
      <c r="V542" s="165">
        <f>V543+V544</f>
        <v>5400880</v>
      </c>
      <c r="W542" s="138">
        <f t="shared" si="366"/>
        <v>4400880</v>
      </c>
      <c r="X542" s="178">
        <f t="shared" si="367"/>
        <v>1000000</v>
      </c>
      <c r="Y542" s="165">
        <f>Y543+Y544</f>
        <v>-187000</v>
      </c>
      <c r="Z542" s="138">
        <f>Z543+Z544</f>
        <v>-187000</v>
      </c>
      <c r="AA542" s="178">
        <f>AA543</f>
        <v>0</v>
      </c>
      <c r="AB542" s="165">
        <f>AB543+AB544</f>
        <v>5213880</v>
      </c>
      <c r="AC542" s="138">
        <f t="shared" si="368"/>
        <v>4213880</v>
      </c>
      <c r="AD542" s="178">
        <f t="shared" si="369"/>
        <v>1000000</v>
      </c>
      <c r="AF542" s="46">
        <f t="shared" si="327"/>
        <v>0</v>
      </c>
      <c r="AG542" s="46"/>
    </row>
    <row r="543" spans="1:33" s="435" customFormat="1" ht="12.75">
      <c r="A543" s="434"/>
      <c r="B543" s="130"/>
      <c r="C543" s="85" t="s">
        <v>302</v>
      </c>
      <c r="D543" s="88">
        <v>4530880</v>
      </c>
      <c r="E543" s="288">
        <v>3530880</v>
      </c>
      <c r="F543" s="365">
        <v>1000000</v>
      </c>
      <c r="G543" s="88">
        <f>H543+I543</f>
        <v>500000</v>
      </c>
      <c r="H543" s="288">
        <v>500000</v>
      </c>
      <c r="I543" s="365"/>
      <c r="J543" s="88">
        <f>K543+L543</f>
        <v>5030880</v>
      </c>
      <c r="K543" s="288">
        <f t="shared" si="362"/>
        <v>4030880</v>
      </c>
      <c r="L543" s="365">
        <f t="shared" si="363"/>
        <v>1000000</v>
      </c>
      <c r="M543" s="88">
        <f>N543+O543</f>
        <v>0</v>
      </c>
      <c r="N543" s="288">
        <v>0</v>
      </c>
      <c r="O543" s="365"/>
      <c r="P543" s="88">
        <f>Q543+R543</f>
        <v>5030880</v>
      </c>
      <c r="Q543" s="288">
        <f t="shared" si="364"/>
        <v>4030880</v>
      </c>
      <c r="R543" s="365">
        <f t="shared" si="365"/>
        <v>1000000</v>
      </c>
      <c r="S543" s="88">
        <f>T543+U543</f>
        <v>183000</v>
      </c>
      <c r="T543" s="288">
        <f>150000+33000</f>
        <v>183000</v>
      </c>
      <c r="U543" s="365"/>
      <c r="V543" s="88">
        <f>W543+X543</f>
        <v>5213880</v>
      </c>
      <c r="W543" s="288">
        <f t="shared" si="366"/>
        <v>4213880</v>
      </c>
      <c r="X543" s="365">
        <f t="shared" si="367"/>
        <v>1000000</v>
      </c>
      <c r="Y543" s="88">
        <f>Z543+AA543</f>
        <v>0</v>
      </c>
      <c r="Z543" s="288"/>
      <c r="AA543" s="365"/>
      <c r="AB543" s="88">
        <f>AC543+AD543</f>
        <v>5213880</v>
      </c>
      <c r="AC543" s="288">
        <f t="shared" si="368"/>
        <v>4213880</v>
      </c>
      <c r="AD543" s="365">
        <f t="shared" si="369"/>
        <v>1000000</v>
      </c>
      <c r="AF543" s="46">
        <f aca="true" t="shared" si="371" ref="AF543:AF586">V543-(S543+P543)</f>
        <v>0</v>
      </c>
      <c r="AG543" s="46"/>
    </row>
    <row r="544" spans="1:33" s="435" customFormat="1" ht="13.5" thickBot="1">
      <c r="A544" s="434"/>
      <c r="B544" s="337"/>
      <c r="C544" s="320" t="s">
        <v>327</v>
      </c>
      <c r="D544" s="321"/>
      <c r="E544" s="389"/>
      <c r="F544" s="390"/>
      <c r="G544" s="321"/>
      <c r="H544" s="389"/>
      <c r="I544" s="390"/>
      <c r="J544" s="321"/>
      <c r="K544" s="389"/>
      <c r="L544" s="390"/>
      <c r="M544" s="321"/>
      <c r="N544" s="389"/>
      <c r="O544" s="390"/>
      <c r="P544" s="321"/>
      <c r="Q544" s="389"/>
      <c r="R544" s="390"/>
      <c r="S544" s="321">
        <f>T544+U544</f>
        <v>187000</v>
      </c>
      <c r="T544" s="389">
        <f>37000+150000</f>
        <v>187000</v>
      </c>
      <c r="U544" s="390"/>
      <c r="V544" s="321">
        <f>W544+X544</f>
        <v>187000</v>
      </c>
      <c r="W544" s="389">
        <f t="shared" si="366"/>
        <v>187000</v>
      </c>
      <c r="X544" s="390">
        <f t="shared" si="367"/>
        <v>0</v>
      </c>
      <c r="Y544" s="321">
        <f>Z544+AA544</f>
        <v>-187000</v>
      </c>
      <c r="Z544" s="389">
        <v>-187000</v>
      </c>
      <c r="AA544" s="390"/>
      <c r="AB544" s="321">
        <f>AC544+AD544</f>
        <v>0</v>
      </c>
      <c r="AC544" s="389">
        <f t="shared" si="368"/>
        <v>0</v>
      </c>
      <c r="AD544" s="390">
        <f t="shared" si="369"/>
        <v>0</v>
      </c>
      <c r="AF544" s="46">
        <f t="shared" si="371"/>
        <v>0</v>
      </c>
      <c r="AG544" s="46"/>
    </row>
    <row r="545" spans="1:33" s="9" customFormat="1" ht="6.75" customHeight="1" thickBot="1" thickTop="1">
      <c r="A545" s="376"/>
      <c r="B545" s="108"/>
      <c r="C545" s="320"/>
      <c r="D545" s="321"/>
      <c r="E545" s="389"/>
      <c r="F545" s="390"/>
      <c r="G545" s="321"/>
      <c r="H545" s="389"/>
      <c r="I545" s="390"/>
      <c r="J545" s="321"/>
      <c r="K545" s="389"/>
      <c r="L545" s="390"/>
      <c r="M545" s="321"/>
      <c r="N545" s="389"/>
      <c r="O545" s="390"/>
      <c r="P545" s="321"/>
      <c r="Q545" s="389"/>
      <c r="R545" s="390"/>
      <c r="S545" s="321"/>
      <c r="T545" s="389"/>
      <c r="U545" s="390"/>
      <c r="V545" s="321"/>
      <c r="W545" s="389"/>
      <c r="X545" s="390"/>
      <c r="Y545" s="321"/>
      <c r="Z545" s="389"/>
      <c r="AA545" s="390"/>
      <c r="AB545" s="321"/>
      <c r="AC545" s="389"/>
      <c r="AD545" s="390"/>
      <c r="AF545" s="46">
        <f t="shared" si="371"/>
        <v>0</v>
      </c>
      <c r="AG545" s="46"/>
    </row>
    <row r="546" spans="1:33" ht="21.75" customHeight="1" thickTop="1">
      <c r="A546" s="391"/>
      <c r="B546" s="115"/>
      <c r="C546" s="392" t="s">
        <v>303</v>
      </c>
      <c r="D546" s="117"/>
      <c r="E546" s="118"/>
      <c r="F546" s="393"/>
      <c r="G546" s="117"/>
      <c r="H546" s="118"/>
      <c r="I546" s="393"/>
      <c r="J546" s="117"/>
      <c r="K546" s="118"/>
      <c r="L546" s="393"/>
      <c r="M546" s="117"/>
      <c r="N546" s="118"/>
      <c r="O546" s="393"/>
      <c r="P546" s="117"/>
      <c r="Q546" s="118"/>
      <c r="R546" s="393"/>
      <c r="S546" s="117"/>
      <c r="T546" s="118"/>
      <c r="U546" s="393"/>
      <c r="V546" s="117"/>
      <c r="W546" s="118"/>
      <c r="X546" s="393"/>
      <c r="Y546" s="117"/>
      <c r="Z546" s="118"/>
      <c r="AA546" s="393"/>
      <c r="AB546" s="117"/>
      <c r="AC546" s="118"/>
      <c r="AD546" s="393"/>
      <c r="AF546" s="46">
        <f t="shared" si="371"/>
        <v>0</v>
      </c>
      <c r="AG546" s="46"/>
    </row>
    <row r="547" spans="1:33" ht="12.75">
      <c r="A547" s="391"/>
      <c r="B547" s="115"/>
      <c r="C547" s="394" t="s">
        <v>304</v>
      </c>
      <c r="D547" s="395">
        <v>36605705</v>
      </c>
      <c r="E547" s="396">
        <v>36505705</v>
      </c>
      <c r="F547" s="397">
        <v>100000</v>
      </c>
      <c r="G547" s="395">
        <f>H547+I547</f>
        <v>0</v>
      </c>
      <c r="H547" s="396">
        <f>H550+H582</f>
        <v>0</v>
      </c>
      <c r="I547" s="397">
        <f>I550+I582</f>
        <v>0</v>
      </c>
      <c r="J547" s="395">
        <f>K547+L547</f>
        <v>36605705</v>
      </c>
      <c r="K547" s="396">
        <f>K550+K582</f>
        <v>36505705</v>
      </c>
      <c r="L547" s="397">
        <f>L550+L582</f>
        <v>100000</v>
      </c>
      <c r="M547" s="395">
        <f>N547+O547</f>
        <v>128122</v>
      </c>
      <c r="N547" s="396">
        <f>N550+N582</f>
        <v>128122</v>
      </c>
      <c r="O547" s="397">
        <f>O550+O582</f>
        <v>0</v>
      </c>
      <c r="P547" s="395">
        <f>Q547+R547</f>
        <v>36733827</v>
      </c>
      <c r="Q547" s="396">
        <f>Q550+Q582</f>
        <v>36633827</v>
      </c>
      <c r="R547" s="397">
        <f>R550+R582</f>
        <v>100000</v>
      </c>
      <c r="S547" s="395">
        <f>T547+U547</f>
        <v>475552</v>
      </c>
      <c r="T547" s="396">
        <f>T550+T582</f>
        <v>475552</v>
      </c>
      <c r="U547" s="397">
        <f>U550+U582</f>
        <v>0</v>
      </c>
      <c r="V547" s="395">
        <f>W547+X547</f>
        <v>37209379</v>
      </c>
      <c r="W547" s="396">
        <f>W550+W582</f>
        <v>37109379</v>
      </c>
      <c r="X547" s="397">
        <f>X550+X582</f>
        <v>100000</v>
      </c>
      <c r="Y547" s="395">
        <f>Z547+AA547</f>
        <v>514715</v>
      </c>
      <c r="Z547" s="396">
        <f>Z550+Z582</f>
        <v>514715</v>
      </c>
      <c r="AA547" s="397">
        <f>AA550+AA582</f>
        <v>0</v>
      </c>
      <c r="AB547" s="395">
        <f>AC547+AD547</f>
        <v>37724094</v>
      </c>
      <c r="AC547" s="396">
        <f>AC550+AC582</f>
        <v>37624094</v>
      </c>
      <c r="AD547" s="397">
        <f>AD550+AD582</f>
        <v>100000</v>
      </c>
      <c r="AF547" s="46">
        <f t="shared" si="371"/>
        <v>0</v>
      </c>
      <c r="AG547" s="46"/>
    </row>
    <row r="548" spans="1:33" ht="4.5" customHeight="1" thickBot="1">
      <c r="A548" s="391"/>
      <c r="B548" s="108"/>
      <c r="C548" s="320"/>
      <c r="D548" s="321"/>
      <c r="E548" s="322"/>
      <c r="F548" s="329"/>
      <c r="G548" s="321"/>
      <c r="H548" s="322"/>
      <c r="I548" s="329"/>
      <c r="J548" s="321"/>
      <c r="K548" s="322"/>
      <c r="L548" s="329"/>
      <c r="M548" s="321"/>
      <c r="N548" s="322"/>
      <c r="O548" s="329"/>
      <c r="P548" s="321"/>
      <c r="Q548" s="322"/>
      <c r="R548" s="329"/>
      <c r="S548" s="321"/>
      <c r="T548" s="322"/>
      <c r="U548" s="329"/>
      <c r="V548" s="321"/>
      <c r="W548" s="322"/>
      <c r="X548" s="329"/>
      <c r="Y548" s="321"/>
      <c r="Z548" s="322"/>
      <c r="AA548" s="329"/>
      <c r="AB548" s="321"/>
      <c r="AC548" s="322"/>
      <c r="AD548" s="329"/>
      <c r="AF548" s="46">
        <f t="shared" si="371"/>
        <v>0</v>
      </c>
      <c r="AG548" s="46"/>
    </row>
    <row r="549" spans="1:33" ht="1.5" customHeight="1" thickTop="1">
      <c r="A549" s="391"/>
      <c r="B549" s="108"/>
      <c r="C549" s="90" t="s">
        <v>6</v>
      </c>
      <c r="D549" s="91"/>
      <c r="E549" s="92"/>
      <c r="F549" s="93"/>
      <c r="G549" s="91"/>
      <c r="H549" s="92"/>
      <c r="I549" s="93"/>
      <c r="J549" s="91"/>
      <c r="K549" s="92"/>
      <c r="L549" s="93"/>
      <c r="M549" s="91"/>
      <c r="N549" s="92"/>
      <c r="O549" s="93"/>
      <c r="P549" s="91"/>
      <c r="Q549" s="92"/>
      <c r="R549" s="93"/>
      <c r="S549" s="91"/>
      <c r="T549" s="92"/>
      <c r="U549" s="93"/>
      <c r="V549" s="91"/>
      <c r="W549" s="92"/>
      <c r="X549" s="93"/>
      <c r="Y549" s="91"/>
      <c r="Z549" s="92"/>
      <c r="AA549" s="93"/>
      <c r="AB549" s="91"/>
      <c r="AC549" s="92"/>
      <c r="AD549" s="93"/>
      <c r="AF549" s="46">
        <f t="shared" si="371"/>
        <v>0</v>
      </c>
      <c r="AG549" s="46"/>
    </row>
    <row r="550" spans="1:33" s="336" customFormat="1" ht="19.5" customHeight="1">
      <c r="A550" s="398"/>
      <c r="B550" s="331"/>
      <c r="C550" s="349" t="s">
        <v>305</v>
      </c>
      <c r="D550" s="333">
        <v>36605705</v>
      </c>
      <c r="E550" s="334">
        <v>36505705</v>
      </c>
      <c r="F550" s="335">
        <v>100000</v>
      </c>
      <c r="G550" s="333">
        <f>H550+I550</f>
        <v>0</v>
      </c>
      <c r="H550" s="334">
        <f>+H554+H560+H566+H569+H572+H574+H578+H552</f>
        <v>0</v>
      </c>
      <c r="I550" s="335">
        <f>+I554+I560+I566+I569+I572+I574+I578+I552</f>
        <v>0</v>
      </c>
      <c r="J550" s="333">
        <f>K550+L550</f>
        <v>36605705</v>
      </c>
      <c r="K550" s="334">
        <f>+K554+K560+K566+K569+K572+K574+K578+K552</f>
        <v>36505705</v>
      </c>
      <c r="L550" s="335">
        <f>+L554+L560+L566+L569+L572+L574+L578+L552</f>
        <v>100000</v>
      </c>
      <c r="M550" s="333">
        <f>N550+O550</f>
        <v>-4878</v>
      </c>
      <c r="N550" s="334">
        <f>+N554+N560+N566+N569+N572+N574+N578+N552</f>
        <v>-4878</v>
      </c>
      <c r="O550" s="335">
        <f>+O554+O560+O566+O569+O572+O574+O578+O552</f>
        <v>0</v>
      </c>
      <c r="P550" s="333">
        <f>Q550+R550</f>
        <v>36600827</v>
      </c>
      <c r="Q550" s="334">
        <f>+Q554+Q560+Q566+Q569+Q572+Q574+Q578+Q552</f>
        <v>36500827</v>
      </c>
      <c r="R550" s="335">
        <f>+R554+R560+R566+R569+R572+R574+R578+R552</f>
        <v>100000</v>
      </c>
      <c r="S550" s="333">
        <f>T550+U550</f>
        <v>475552</v>
      </c>
      <c r="T550" s="334">
        <f>+T554+T560+T566+T569+T572+T574+T578+T552</f>
        <v>475552</v>
      </c>
      <c r="U550" s="335">
        <f>+U554+U560+U566+U569+U572+U574+U578+U552</f>
        <v>0</v>
      </c>
      <c r="V550" s="333">
        <f>W550+X550</f>
        <v>37076379</v>
      </c>
      <c r="W550" s="334">
        <f>+W554+W560+W566+W569+W572+W574+W578+W552</f>
        <v>36976379</v>
      </c>
      <c r="X550" s="335">
        <f>+X554+X560+X566+X569+X572+X574+X578+X552</f>
        <v>100000</v>
      </c>
      <c r="Y550" s="333">
        <f>Z550+AA550</f>
        <v>514715</v>
      </c>
      <c r="Z550" s="334">
        <f>+Z554+Z560+Z566+Z569+Z572+Z574+Z578+Z552</f>
        <v>514715</v>
      </c>
      <c r="AA550" s="335">
        <f>+AA554+AA560+AA566+AA569+AA572+AA574+AA578+AA552</f>
        <v>0</v>
      </c>
      <c r="AB550" s="333">
        <f>AC550+AD550</f>
        <v>37591094</v>
      </c>
      <c r="AC550" s="334">
        <f>+AC554+AC560+AC566+AC569+AC572+AC574+AC578+AC552</f>
        <v>37491094</v>
      </c>
      <c r="AD550" s="335">
        <f>+AD554+AD560+AD566+AD569+AD572+AD574+AD578+AD552</f>
        <v>100000</v>
      </c>
      <c r="AF550" s="46">
        <f t="shared" si="371"/>
        <v>0</v>
      </c>
      <c r="AG550" s="46"/>
    </row>
    <row r="551" spans="1:33" ht="6.75" customHeight="1" thickBot="1">
      <c r="A551" s="391"/>
      <c r="B551" s="399"/>
      <c r="C551" s="356"/>
      <c r="D551" s="357"/>
      <c r="E551" s="358"/>
      <c r="F551" s="359"/>
      <c r="G551" s="357"/>
      <c r="H551" s="358"/>
      <c r="I551" s="359"/>
      <c r="J551" s="357"/>
      <c r="K551" s="358"/>
      <c r="L551" s="359"/>
      <c r="M551" s="357"/>
      <c r="N551" s="358"/>
      <c r="O551" s="359"/>
      <c r="P551" s="357"/>
      <c r="Q551" s="358"/>
      <c r="R551" s="359"/>
      <c r="S551" s="357"/>
      <c r="T551" s="358"/>
      <c r="U551" s="359"/>
      <c r="V551" s="357"/>
      <c r="W551" s="358"/>
      <c r="X551" s="359"/>
      <c r="Y551" s="357"/>
      <c r="Z551" s="358"/>
      <c r="AA551" s="359"/>
      <c r="AB551" s="357"/>
      <c r="AC551" s="358"/>
      <c r="AD551" s="359"/>
      <c r="AF551" s="46">
        <f t="shared" si="371"/>
        <v>0</v>
      </c>
      <c r="AG551" s="46"/>
    </row>
    <row r="552" spans="1:33" ht="13.5" customHeight="1" hidden="1">
      <c r="A552" s="391"/>
      <c r="B552" s="73" t="s">
        <v>22</v>
      </c>
      <c r="C552" s="74" t="s">
        <v>23</v>
      </c>
      <c r="D552" s="75">
        <v>0</v>
      </c>
      <c r="E552" s="400">
        <v>0</v>
      </c>
      <c r="F552" s="77">
        <v>0</v>
      </c>
      <c r="G552" s="75">
        <f>H552+I552</f>
        <v>0</v>
      </c>
      <c r="H552" s="400">
        <f>H553</f>
        <v>0</v>
      </c>
      <c r="I552" s="77">
        <f>I553</f>
        <v>0</v>
      </c>
      <c r="J552" s="75">
        <f>K552+L552</f>
        <v>0</v>
      </c>
      <c r="K552" s="400">
        <f>K553</f>
        <v>0</v>
      </c>
      <c r="L552" s="77">
        <f>L553</f>
        <v>0</v>
      </c>
      <c r="M552" s="75">
        <f>N552+O552</f>
        <v>0</v>
      </c>
      <c r="N552" s="400">
        <f>N553</f>
        <v>0</v>
      </c>
      <c r="O552" s="77">
        <f>O553</f>
        <v>0</v>
      </c>
      <c r="P552" s="75">
        <f>Q552+R552</f>
        <v>0</v>
      </c>
      <c r="Q552" s="400">
        <f>Q553</f>
        <v>0</v>
      </c>
      <c r="R552" s="77">
        <f>R553</f>
        <v>0</v>
      </c>
      <c r="S552" s="75">
        <f>T552+U552</f>
        <v>0</v>
      </c>
      <c r="T552" s="400">
        <f>T553</f>
        <v>0</v>
      </c>
      <c r="U552" s="77">
        <f>U553</f>
        <v>0</v>
      </c>
      <c r="V552" s="75">
        <f>W552+X552</f>
        <v>0</v>
      </c>
      <c r="W552" s="400">
        <f>W553</f>
        <v>0</v>
      </c>
      <c r="X552" s="77">
        <f>X553</f>
        <v>0</v>
      </c>
      <c r="Y552" s="75">
        <f>Z552+AA552</f>
        <v>0</v>
      </c>
      <c r="Z552" s="400">
        <f>Z553</f>
        <v>0</v>
      </c>
      <c r="AA552" s="77">
        <f>AA553</f>
        <v>0</v>
      </c>
      <c r="AB552" s="75">
        <f>AC552+AD552</f>
        <v>0</v>
      </c>
      <c r="AC552" s="400">
        <f>AC553</f>
        <v>0</v>
      </c>
      <c r="AD552" s="77">
        <f>AD553</f>
        <v>0</v>
      </c>
      <c r="AF552" s="46">
        <f t="shared" si="371"/>
        <v>0</v>
      </c>
      <c r="AG552" s="46"/>
    </row>
    <row r="553" spans="1:33" ht="17.25" customHeight="1" hidden="1">
      <c r="A553" s="391"/>
      <c r="B553" s="78" t="s">
        <v>28</v>
      </c>
      <c r="C553" s="83" t="s">
        <v>29</v>
      </c>
      <c r="D553" s="80">
        <v>0</v>
      </c>
      <c r="E553" s="138">
        <v>0</v>
      </c>
      <c r="F553" s="82">
        <v>0</v>
      </c>
      <c r="G553" s="80">
        <f>H553+I553</f>
        <v>0</v>
      </c>
      <c r="H553" s="138">
        <v>0</v>
      </c>
      <c r="I553" s="82">
        <v>0</v>
      </c>
      <c r="J553" s="80">
        <f>K553+L553</f>
        <v>0</v>
      </c>
      <c r="K553" s="138">
        <v>0</v>
      </c>
      <c r="L553" s="82">
        <v>0</v>
      </c>
      <c r="M553" s="80">
        <f>N553+O553</f>
        <v>0</v>
      </c>
      <c r="N553" s="138">
        <v>0</v>
      </c>
      <c r="O553" s="82">
        <v>0</v>
      </c>
      <c r="P553" s="80">
        <f>Q553+R553</f>
        <v>0</v>
      </c>
      <c r="Q553" s="138">
        <v>0</v>
      </c>
      <c r="R553" s="82">
        <v>0</v>
      </c>
      <c r="S553" s="80">
        <f>T553+U553</f>
        <v>0</v>
      </c>
      <c r="T553" s="138">
        <v>0</v>
      </c>
      <c r="U553" s="82">
        <v>0</v>
      </c>
      <c r="V553" s="80">
        <f>W553+X553</f>
        <v>0</v>
      </c>
      <c r="W553" s="138">
        <v>0</v>
      </c>
      <c r="X553" s="82">
        <v>0</v>
      </c>
      <c r="Y553" s="80">
        <f>Z553+AA553</f>
        <v>0</v>
      </c>
      <c r="Z553" s="138">
        <v>0</v>
      </c>
      <c r="AA553" s="82">
        <v>0</v>
      </c>
      <c r="AB553" s="80">
        <f>AC553+AD553</f>
        <v>0</v>
      </c>
      <c r="AC553" s="138">
        <v>0</v>
      </c>
      <c r="AD553" s="82">
        <v>0</v>
      </c>
      <c r="AF553" s="46">
        <f t="shared" si="371"/>
        <v>0</v>
      </c>
      <c r="AG553" s="46"/>
    </row>
    <row r="554" spans="1:33" ht="13.5" thickTop="1">
      <c r="A554" s="391"/>
      <c r="B554" s="73">
        <v>700</v>
      </c>
      <c r="C554" s="134" t="s">
        <v>51</v>
      </c>
      <c r="D554" s="75">
        <v>836000</v>
      </c>
      <c r="E554" s="76">
        <v>836000</v>
      </c>
      <c r="F554" s="158">
        <v>0</v>
      </c>
      <c r="G554" s="75">
        <f>H554+I554</f>
        <v>0</v>
      </c>
      <c r="H554" s="76">
        <f>H555</f>
        <v>0</v>
      </c>
      <c r="I554" s="158">
        <f>I555</f>
        <v>0</v>
      </c>
      <c r="J554" s="75">
        <f>K554+L554</f>
        <v>836000</v>
      </c>
      <c r="K554" s="76">
        <f>K555</f>
        <v>836000</v>
      </c>
      <c r="L554" s="158">
        <f>L555</f>
        <v>0</v>
      </c>
      <c r="M554" s="75">
        <f>N554+O554</f>
        <v>-13318</v>
      </c>
      <c r="N554" s="76">
        <f>N555</f>
        <v>-13318</v>
      </c>
      <c r="O554" s="158">
        <f>O555</f>
        <v>0</v>
      </c>
      <c r="P554" s="75">
        <f>Q554+R554</f>
        <v>822682</v>
      </c>
      <c r="Q554" s="76">
        <f>Q555</f>
        <v>822682</v>
      </c>
      <c r="R554" s="158">
        <f>R555</f>
        <v>0</v>
      </c>
      <c r="S554" s="75">
        <f>T554+U554</f>
        <v>108540</v>
      </c>
      <c r="T554" s="76">
        <f>T555</f>
        <v>108540</v>
      </c>
      <c r="U554" s="158">
        <f>U555</f>
        <v>0</v>
      </c>
      <c r="V554" s="75">
        <f>W554+X554</f>
        <v>931222</v>
      </c>
      <c r="W554" s="76">
        <f>W555</f>
        <v>931222</v>
      </c>
      <c r="X554" s="158">
        <f>X555</f>
        <v>0</v>
      </c>
      <c r="Y554" s="75">
        <f>Z554+AA554</f>
        <v>494860</v>
      </c>
      <c r="Z554" s="76">
        <f>Z555</f>
        <v>494860</v>
      </c>
      <c r="AA554" s="158">
        <f>AA555</f>
        <v>0</v>
      </c>
      <c r="AB554" s="75">
        <f>AC554+AD554</f>
        <v>1426082</v>
      </c>
      <c r="AC554" s="76">
        <f>AC555</f>
        <v>1426082</v>
      </c>
      <c r="AD554" s="158">
        <f>AD555</f>
        <v>0</v>
      </c>
      <c r="AF554" s="46">
        <f t="shared" si="371"/>
        <v>0</v>
      </c>
      <c r="AG554" s="46"/>
    </row>
    <row r="555" spans="1:33" ht="12.75">
      <c r="A555" s="391"/>
      <c r="B555" s="363">
        <v>70005</v>
      </c>
      <c r="C555" s="83" t="s">
        <v>53</v>
      </c>
      <c r="D555" s="401">
        <v>836000</v>
      </c>
      <c r="E555" s="138">
        <v>836000</v>
      </c>
      <c r="F555" s="178">
        <v>0</v>
      </c>
      <c r="G555" s="401">
        <f>SUM(G556:G559)</f>
        <v>0</v>
      </c>
      <c r="H555" s="138">
        <f>SUM(H556:H559)</f>
        <v>0</v>
      </c>
      <c r="I555" s="178">
        <f>SUM(I556:I559)</f>
        <v>0</v>
      </c>
      <c r="J555" s="401">
        <f>SUM(J556:J559)</f>
        <v>836000</v>
      </c>
      <c r="K555" s="138">
        <f>E555+H555</f>
        <v>836000</v>
      </c>
      <c r="L555" s="178">
        <f>I555+F555</f>
        <v>0</v>
      </c>
      <c r="M555" s="401">
        <f>SUM(M556:M559)</f>
        <v>-13318</v>
      </c>
      <c r="N555" s="138">
        <f>SUM(N556:N559)</f>
        <v>-13318</v>
      </c>
      <c r="O555" s="178">
        <f>SUM(O556:O559)</f>
        <v>0</v>
      </c>
      <c r="P555" s="401">
        <f>SUM(P556:P559)</f>
        <v>822682</v>
      </c>
      <c r="Q555" s="138">
        <f>K555+N555</f>
        <v>822682</v>
      </c>
      <c r="R555" s="178">
        <f>O555+L555</f>
        <v>0</v>
      </c>
      <c r="S555" s="401">
        <f>SUM(S556:S559)</f>
        <v>108540</v>
      </c>
      <c r="T555" s="138">
        <f>SUM(T556:T559)</f>
        <v>108540</v>
      </c>
      <c r="U555" s="178">
        <f>SUM(U556:U559)</f>
        <v>0</v>
      </c>
      <c r="V555" s="401">
        <f>SUM(V556:V559)</f>
        <v>931222</v>
      </c>
      <c r="W555" s="138">
        <f>Q555+T555</f>
        <v>931222</v>
      </c>
      <c r="X555" s="178">
        <f>U555+R555</f>
        <v>0</v>
      </c>
      <c r="Y555" s="401">
        <f>SUM(Y556:Y559)</f>
        <v>494860</v>
      </c>
      <c r="Z555" s="138">
        <f>SUM(Z556:Z559)</f>
        <v>494860</v>
      </c>
      <c r="AA555" s="178">
        <f>SUM(AA556:AA559)</f>
        <v>0</v>
      </c>
      <c r="AB555" s="401">
        <f>SUM(AB556:AB559)</f>
        <v>1426082</v>
      </c>
      <c r="AC555" s="138">
        <f>W555+Z555</f>
        <v>1426082</v>
      </c>
      <c r="AD555" s="178">
        <f>AA555+X555</f>
        <v>0</v>
      </c>
      <c r="AF555" s="46">
        <f t="shared" si="371"/>
        <v>0</v>
      </c>
      <c r="AG555" s="46"/>
    </row>
    <row r="556" spans="1:33" ht="12.75">
      <c r="A556" s="391"/>
      <c r="B556" s="84"/>
      <c r="C556" s="85" t="s">
        <v>306</v>
      </c>
      <c r="D556" s="282">
        <v>56000</v>
      </c>
      <c r="E556" s="288">
        <v>56000</v>
      </c>
      <c r="F556" s="87">
        <v>0</v>
      </c>
      <c r="G556" s="282">
        <f aca="true" t="shared" si="372" ref="G556:G580">H556+I556</f>
        <v>0</v>
      </c>
      <c r="H556" s="288"/>
      <c r="I556" s="87">
        <v>0</v>
      </c>
      <c r="J556" s="282">
        <f aca="true" t="shared" si="373" ref="J556:J580">K556+L556</f>
        <v>56000</v>
      </c>
      <c r="K556" s="288">
        <f>E556+H556</f>
        <v>56000</v>
      </c>
      <c r="L556" s="87">
        <f>I556+F556</f>
        <v>0</v>
      </c>
      <c r="M556" s="282">
        <f aca="true" t="shared" si="374" ref="M556:M580">N556+O556</f>
        <v>-13000</v>
      </c>
      <c r="N556" s="288">
        <v>-13000</v>
      </c>
      <c r="O556" s="87">
        <v>0</v>
      </c>
      <c r="P556" s="282">
        <f aca="true" t="shared" si="375" ref="P556:P580">Q556+R556</f>
        <v>43000</v>
      </c>
      <c r="Q556" s="288">
        <f>K556+N556</f>
        <v>43000</v>
      </c>
      <c r="R556" s="87">
        <f>O556+L556</f>
        <v>0</v>
      </c>
      <c r="S556" s="282">
        <f aca="true" t="shared" si="376" ref="S556:S580">T556+U556</f>
        <v>0</v>
      </c>
      <c r="T556" s="288">
        <v>0</v>
      </c>
      <c r="U556" s="87">
        <v>0</v>
      </c>
      <c r="V556" s="282">
        <f aca="true" t="shared" si="377" ref="V556:V580">W556+X556</f>
        <v>43000</v>
      </c>
      <c r="W556" s="288">
        <f>Q556+T556</f>
        <v>43000</v>
      </c>
      <c r="X556" s="87">
        <f>U556+R556</f>
        <v>0</v>
      </c>
      <c r="Y556" s="282">
        <f aca="true" t="shared" si="378" ref="Y556:Y580">Z556+AA556</f>
        <v>0</v>
      </c>
      <c r="Z556" s="288"/>
      <c r="AA556" s="87"/>
      <c r="AB556" s="282">
        <f aca="true" t="shared" si="379" ref="AB556:AB580">AC556+AD556</f>
        <v>43000</v>
      </c>
      <c r="AC556" s="288">
        <f>W556+Z556</f>
        <v>43000</v>
      </c>
      <c r="AD556" s="87">
        <f>AA556+X556</f>
        <v>0</v>
      </c>
      <c r="AF556" s="46">
        <f t="shared" si="371"/>
        <v>0</v>
      </c>
      <c r="AG556" s="46"/>
    </row>
    <row r="557" spans="1:33" ht="12.75" customHeight="1" hidden="1">
      <c r="A557" s="391"/>
      <c r="B557" s="89"/>
      <c r="C557" s="90" t="s">
        <v>45</v>
      </c>
      <c r="D557" s="209">
        <v>0</v>
      </c>
      <c r="E557" s="118">
        <v>0</v>
      </c>
      <c r="F557" s="93">
        <v>0</v>
      </c>
      <c r="G557" s="209">
        <f t="shared" si="372"/>
        <v>0</v>
      </c>
      <c r="H557" s="118"/>
      <c r="I557" s="93"/>
      <c r="J557" s="209">
        <f t="shared" si="373"/>
        <v>0</v>
      </c>
      <c r="K557" s="118">
        <f>E557+H557</f>
        <v>0</v>
      </c>
      <c r="L557" s="93">
        <f>I557+F557</f>
        <v>0</v>
      </c>
      <c r="M557" s="209">
        <f t="shared" si="374"/>
        <v>0</v>
      </c>
      <c r="N557" s="118"/>
      <c r="O557" s="93"/>
      <c r="P557" s="209">
        <f t="shared" si="375"/>
        <v>0</v>
      </c>
      <c r="Q557" s="118">
        <f>K557+N557</f>
        <v>0</v>
      </c>
      <c r="R557" s="93">
        <f>O557+L557</f>
        <v>0</v>
      </c>
      <c r="S557" s="209">
        <f t="shared" si="376"/>
        <v>0</v>
      </c>
      <c r="T557" s="118"/>
      <c r="U557" s="93"/>
      <c r="V557" s="209">
        <f t="shared" si="377"/>
        <v>0</v>
      </c>
      <c r="W557" s="118">
        <f>Q557+T557</f>
        <v>0</v>
      </c>
      <c r="X557" s="93">
        <f>U557+R557</f>
        <v>0</v>
      </c>
      <c r="Y557" s="209">
        <f t="shared" si="378"/>
        <v>0</v>
      </c>
      <c r="Z557" s="118"/>
      <c r="AA557" s="93"/>
      <c r="AB557" s="209">
        <f t="shared" si="379"/>
        <v>0</v>
      </c>
      <c r="AC557" s="118">
        <f>W557+Z557</f>
        <v>0</v>
      </c>
      <c r="AD557" s="93">
        <f>AA557+X557</f>
        <v>0</v>
      </c>
      <c r="AF557" s="46">
        <f t="shared" si="371"/>
        <v>0</v>
      </c>
      <c r="AG557" s="46"/>
    </row>
    <row r="558" spans="1:33" ht="12.75">
      <c r="A558" s="391"/>
      <c r="B558" s="89"/>
      <c r="C558" s="90" t="s">
        <v>307</v>
      </c>
      <c r="D558" s="209">
        <v>780000</v>
      </c>
      <c r="E558" s="118">
        <v>780000</v>
      </c>
      <c r="F558" s="93">
        <v>0</v>
      </c>
      <c r="G558" s="209">
        <f t="shared" si="372"/>
        <v>0</v>
      </c>
      <c r="H558" s="118"/>
      <c r="I558" s="93">
        <v>0</v>
      </c>
      <c r="J558" s="209">
        <f t="shared" si="373"/>
        <v>780000</v>
      </c>
      <c r="K558" s="118">
        <f>E558+H558</f>
        <v>780000</v>
      </c>
      <c r="L558" s="93">
        <f>I558+F558</f>
        <v>0</v>
      </c>
      <c r="M558" s="209">
        <f t="shared" si="374"/>
        <v>-13000</v>
      </c>
      <c r="N558" s="118">
        <v>-13000</v>
      </c>
      <c r="O558" s="93">
        <v>0</v>
      </c>
      <c r="P558" s="209">
        <f t="shared" si="375"/>
        <v>767000</v>
      </c>
      <c r="Q558" s="118">
        <f>K558+N558</f>
        <v>767000</v>
      </c>
      <c r="R558" s="93">
        <f>O558+L558</f>
        <v>0</v>
      </c>
      <c r="S558" s="209">
        <f t="shared" si="376"/>
        <v>50000</v>
      </c>
      <c r="T558" s="118">
        <v>50000</v>
      </c>
      <c r="U558" s="93">
        <v>0</v>
      </c>
      <c r="V558" s="209">
        <f t="shared" si="377"/>
        <v>817000</v>
      </c>
      <c r="W558" s="118">
        <f>Q558+T558</f>
        <v>817000</v>
      </c>
      <c r="X558" s="93">
        <f>U558+R558</f>
        <v>0</v>
      </c>
      <c r="Y558" s="209">
        <f t="shared" si="378"/>
        <v>0</v>
      </c>
      <c r="Z558" s="118"/>
      <c r="AA558" s="93"/>
      <c r="AB558" s="209">
        <f t="shared" si="379"/>
        <v>817000</v>
      </c>
      <c r="AC558" s="118">
        <f>W558+Z558</f>
        <v>817000</v>
      </c>
      <c r="AD558" s="93">
        <f>AA558+X558</f>
        <v>0</v>
      </c>
      <c r="AF558" s="46">
        <f t="shared" si="371"/>
        <v>0</v>
      </c>
      <c r="AG558" s="46"/>
    </row>
    <row r="559" spans="1:33" ht="12.75" customHeight="1">
      <c r="A559" s="391"/>
      <c r="B559" s="363"/>
      <c r="C559" s="129" t="s">
        <v>41</v>
      </c>
      <c r="D559" s="387">
        <v>0</v>
      </c>
      <c r="E559" s="142">
        <v>0</v>
      </c>
      <c r="F559" s="114">
        <v>0</v>
      </c>
      <c r="G559" s="387">
        <f t="shared" si="372"/>
        <v>0</v>
      </c>
      <c r="H559" s="142">
        <v>0</v>
      </c>
      <c r="I559" s="114">
        <v>0</v>
      </c>
      <c r="J559" s="387">
        <f t="shared" si="373"/>
        <v>0</v>
      </c>
      <c r="K559" s="142">
        <v>0</v>
      </c>
      <c r="L559" s="114">
        <v>0</v>
      </c>
      <c r="M559" s="387">
        <f t="shared" si="374"/>
        <v>12682</v>
      </c>
      <c r="N559" s="142">
        <v>12682</v>
      </c>
      <c r="O559" s="114">
        <v>0</v>
      </c>
      <c r="P559" s="387">
        <f t="shared" si="375"/>
        <v>12682</v>
      </c>
      <c r="Q559" s="142">
        <f>K559+N559</f>
        <v>12682</v>
      </c>
      <c r="R559" s="114">
        <f>O559+L559</f>
        <v>0</v>
      </c>
      <c r="S559" s="387">
        <f t="shared" si="376"/>
        <v>58540</v>
      </c>
      <c r="T559" s="142">
        <v>58540</v>
      </c>
      <c r="U559" s="114">
        <v>0</v>
      </c>
      <c r="V559" s="387">
        <f t="shared" si="377"/>
        <v>71222</v>
      </c>
      <c r="W559" s="142">
        <f>Q559+T559</f>
        <v>71222</v>
      </c>
      <c r="X559" s="114">
        <f>U559+R559</f>
        <v>0</v>
      </c>
      <c r="Y559" s="387">
        <f t="shared" si="378"/>
        <v>494860</v>
      </c>
      <c r="Z559" s="118">
        <f>303040+173308+18512</f>
        <v>494860</v>
      </c>
      <c r="AA559" s="114"/>
      <c r="AB559" s="387">
        <f t="shared" si="379"/>
        <v>566082</v>
      </c>
      <c r="AC559" s="142">
        <f>W559+Z559</f>
        <v>566082</v>
      </c>
      <c r="AD559" s="114">
        <f>AA559+X559</f>
        <v>0</v>
      </c>
      <c r="AF559" s="46">
        <f t="shared" si="371"/>
        <v>0</v>
      </c>
      <c r="AG559" s="46"/>
    </row>
    <row r="560" spans="1:33" ht="12.75">
      <c r="A560" s="391"/>
      <c r="B560" s="133">
        <v>710</v>
      </c>
      <c r="C560" s="134" t="s">
        <v>56</v>
      </c>
      <c r="D560" s="75">
        <v>1456800</v>
      </c>
      <c r="E560" s="76">
        <v>1456800</v>
      </c>
      <c r="F560" s="158">
        <v>0</v>
      </c>
      <c r="G560" s="75">
        <f t="shared" si="372"/>
        <v>0</v>
      </c>
      <c r="H560" s="76">
        <f>H561+H562+H565</f>
        <v>0</v>
      </c>
      <c r="I560" s="158">
        <f>I561+I562+I565</f>
        <v>0</v>
      </c>
      <c r="J560" s="75">
        <f t="shared" si="373"/>
        <v>1456800</v>
      </c>
      <c r="K560" s="76">
        <f>K561+K562+K565</f>
        <v>1456800</v>
      </c>
      <c r="L560" s="158">
        <f>L561+L562+L565</f>
        <v>0</v>
      </c>
      <c r="M560" s="75">
        <f t="shared" si="374"/>
        <v>0</v>
      </c>
      <c r="N560" s="76">
        <f>N561+N562+N565</f>
        <v>0</v>
      </c>
      <c r="O560" s="158">
        <f>O561+O562+O565</f>
        <v>0</v>
      </c>
      <c r="P560" s="75">
        <f t="shared" si="375"/>
        <v>1456800</v>
      </c>
      <c r="Q560" s="76">
        <f>Q561+Q562+Q565</f>
        <v>1456800</v>
      </c>
      <c r="R560" s="158">
        <f>R561+R562+R565</f>
        <v>0</v>
      </c>
      <c r="S560" s="75">
        <f t="shared" si="376"/>
        <v>0</v>
      </c>
      <c r="T560" s="76">
        <f>T561+T562+T565</f>
        <v>0</v>
      </c>
      <c r="U560" s="158">
        <f>U561+U562+U565</f>
        <v>0</v>
      </c>
      <c r="V560" s="75">
        <f t="shared" si="377"/>
        <v>1456800</v>
      </c>
      <c r="W560" s="76">
        <f>W561+W562+W565</f>
        <v>1456800</v>
      </c>
      <c r="X560" s="158">
        <f>X561+X562+X565</f>
        <v>0</v>
      </c>
      <c r="Y560" s="75">
        <f t="shared" si="378"/>
        <v>0</v>
      </c>
      <c r="Z560" s="76">
        <f>Z561+Z562+Z565</f>
        <v>0</v>
      </c>
      <c r="AA560" s="158">
        <f>AA561+AA562+AA565</f>
        <v>0</v>
      </c>
      <c r="AB560" s="75">
        <f t="shared" si="379"/>
        <v>1456800</v>
      </c>
      <c r="AC560" s="76">
        <f>AC561+AC562+AC565</f>
        <v>1456800</v>
      </c>
      <c r="AD560" s="158">
        <f>AD561+AD562+AD565</f>
        <v>0</v>
      </c>
      <c r="AF560" s="46">
        <f t="shared" si="371"/>
        <v>0</v>
      </c>
      <c r="AG560" s="46"/>
    </row>
    <row r="561" spans="1:33" ht="12.75">
      <c r="A561" s="391"/>
      <c r="B561" s="106">
        <v>71013</v>
      </c>
      <c r="C561" s="137" t="s">
        <v>308</v>
      </c>
      <c r="D561" s="80">
        <v>395800</v>
      </c>
      <c r="E561" s="138">
        <v>395800</v>
      </c>
      <c r="F561" s="82">
        <v>0</v>
      </c>
      <c r="G561" s="80">
        <f t="shared" si="372"/>
        <v>0</v>
      </c>
      <c r="H561" s="138"/>
      <c r="I561" s="82">
        <v>0</v>
      </c>
      <c r="J561" s="80">
        <f t="shared" si="373"/>
        <v>395800</v>
      </c>
      <c r="K561" s="138">
        <f>E561+H561</f>
        <v>395800</v>
      </c>
      <c r="L561" s="82">
        <f>I561+F561</f>
        <v>0</v>
      </c>
      <c r="M561" s="80">
        <f t="shared" si="374"/>
        <v>0</v>
      </c>
      <c r="N561" s="138"/>
      <c r="O561" s="82">
        <v>0</v>
      </c>
      <c r="P561" s="80">
        <f t="shared" si="375"/>
        <v>395800</v>
      </c>
      <c r="Q561" s="138">
        <f>K561+N561</f>
        <v>395800</v>
      </c>
      <c r="R561" s="82">
        <f>O561+L561</f>
        <v>0</v>
      </c>
      <c r="S561" s="80">
        <f t="shared" si="376"/>
        <v>0</v>
      </c>
      <c r="T561" s="138"/>
      <c r="U561" s="82">
        <v>0</v>
      </c>
      <c r="V561" s="80">
        <f t="shared" si="377"/>
        <v>395800</v>
      </c>
      <c r="W561" s="138">
        <f>Q561+T561</f>
        <v>395800</v>
      </c>
      <c r="X561" s="82">
        <f>U561+R561</f>
        <v>0</v>
      </c>
      <c r="Y561" s="80">
        <f t="shared" si="378"/>
        <v>0</v>
      </c>
      <c r="Z561" s="138"/>
      <c r="AA561" s="82"/>
      <c r="AB561" s="80">
        <f t="shared" si="379"/>
        <v>395800</v>
      </c>
      <c r="AC561" s="138">
        <f>W561+Z561</f>
        <v>395800</v>
      </c>
      <c r="AD561" s="82">
        <f>AA561+X561</f>
        <v>0</v>
      </c>
      <c r="AF561" s="46">
        <f t="shared" si="371"/>
        <v>0</v>
      </c>
      <c r="AG561" s="46"/>
    </row>
    <row r="562" spans="1:33" ht="12.75">
      <c r="A562" s="391"/>
      <c r="B562" s="106">
        <v>71014</v>
      </c>
      <c r="C562" s="83" t="s">
        <v>309</v>
      </c>
      <c r="D562" s="80">
        <v>10000</v>
      </c>
      <c r="E562" s="138">
        <v>10000</v>
      </c>
      <c r="F562" s="82">
        <v>0</v>
      </c>
      <c r="G562" s="80">
        <f t="shared" si="372"/>
        <v>0</v>
      </c>
      <c r="H562" s="138">
        <f>SUM(H563:H564)</f>
        <v>0</v>
      </c>
      <c r="I562" s="82">
        <f>SUM(I563:I564)</f>
        <v>0</v>
      </c>
      <c r="J562" s="80">
        <f t="shared" si="373"/>
        <v>10000</v>
      </c>
      <c r="K562" s="138">
        <f>E562+H562</f>
        <v>10000</v>
      </c>
      <c r="L562" s="82">
        <f>I562+F562</f>
        <v>0</v>
      </c>
      <c r="M562" s="80">
        <f t="shared" si="374"/>
        <v>0</v>
      </c>
      <c r="N562" s="138">
        <f>SUM(N563:N564)</f>
        <v>0</v>
      </c>
      <c r="O562" s="82">
        <f>SUM(O563:O564)</f>
        <v>0</v>
      </c>
      <c r="P562" s="80">
        <f t="shared" si="375"/>
        <v>10000</v>
      </c>
      <c r="Q562" s="138">
        <f>K562+N562</f>
        <v>10000</v>
      </c>
      <c r="R562" s="82">
        <f>O562+L562</f>
        <v>0</v>
      </c>
      <c r="S562" s="80">
        <f t="shared" si="376"/>
        <v>0</v>
      </c>
      <c r="T562" s="138">
        <f>SUM(T563:T564)</f>
        <v>0</v>
      </c>
      <c r="U562" s="82">
        <f>SUM(U563:U564)</f>
        <v>0</v>
      </c>
      <c r="V562" s="80">
        <f t="shared" si="377"/>
        <v>10000</v>
      </c>
      <c r="W562" s="138">
        <f>Q562+T562</f>
        <v>10000</v>
      </c>
      <c r="X562" s="82">
        <f>U562+R562</f>
        <v>0</v>
      </c>
      <c r="Y562" s="80">
        <f t="shared" si="378"/>
        <v>0</v>
      </c>
      <c r="Z562" s="138">
        <f>SUM(Z563:Z564)</f>
        <v>0</v>
      </c>
      <c r="AA562" s="82">
        <f>SUM(AA563:AA564)</f>
        <v>0</v>
      </c>
      <c r="AB562" s="80">
        <f t="shared" si="379"/>
        <v>10000</v>
      </c>
      <c r="AC562" s="138">
        <f>W562+Z562</f>
        <v>10000</v>
      </c>
      <c r="AD562" s="82">
        <f>AA562+X562</f>
        <v>0</v>
      </c>
      <c r="AF562" s="46">
        <f t="shared" si="371"/>
        <v>0</v>
      </c>
      <c r="AG562" s="46"/>
    </row>
    <row r="563" spans="1:33" ht="12.75">
      <c r="A563" s="391"/>
      <c r="B563" s="84"/>
      <c r="C563" s="85" t="s">
        <v>306</v>
      </c>
      <c r="D563" s="282">
        <v>3000</v>
      </c>
      <c r="E563" s="288">
        <v>3000</v>
      </c>
      <c r="F563" s="161">
        <v>0</v>
      </c>
      <c r="G563" s="282">
        <f t="shared" si="372"/>
        <v>0</v>
      </c>
      <c r="H563" s="288"/>
      <c r="I563" s="161">
        <v>0</v>
      </c>
      <c r="J563" s="282">
        <f t="shared" si="373"/>
        <v>3000</v>
      </c>
      <c r="K563" s="288">
        <f>E563+H563</f>
        <v>3000</v>
      </c>
      <c r="L563" s="161">
        <f>I563+F563</f>
        <v>0</v>
      </c>
      <c r="M563" s="282">
        <f t="shared" si="374"/>
        <v>0</v>
      </c>
      <c r="N563" s="288"/>
      <c r="O563" s="161">
        <v>0</v>
      </c>
      <c r="P563" s="282">
        <f t="shared" si="375"/>
        <v>3000</v>
      </c>
      <c r="Q563" s="288">
        <f>K563+N563</f>
        <v>3000</v>
      </c>
      <c r="R563" s="161">
        <f>O563+L563</f>
        <v>0</v>
      </c>
      <c r="S563" s="282">
        <f t="shared" si="376"/>
        <v>0</v>
      </c>
      <c r="T563" s="288"/>
      <c r="U563" s="161">
        <v>0</v>
      </c>
      <c r="V563" s="282">
        <f t="shared" si="377"/>
        <v>3000</v>
      </c>
      <c r="W563" s="288">
        <f>Q563+T563</f>
        <v>3000</v>
      </c>
      <c r="X563" s="161">
        <f>U563+R563</f>
        <v>0</v>
      </c>
      <c r="Y563" s="282">
        <f t="shared" si="378"/>
        <v>0</v>
      </c>
      <c r="Z563" s="288"/>
      <c r="AA563" s="161"/>
      <c r="AB563" s="282">
        <f t="shared" si="379"/>
        <v>3000</v>
      </c>
      <c r="AC563" s="288">
        <f>W563+Z563</f>
        <v>3000</v>
      </c>
      <c r="AD563" s="161">
        <f>AA563+X563</f>
        <v>0</v>
      </c>
      <c r="AF563" s="46">
        <f t="shared" si="371"/>
        <v>0</v>
      </c>
      <c r="AG563" s="46"/>
    </row>
    <row r="564" spans="1:33" ht="12.75">
      <c r="A564" s="391"/>
      <c r="B564" s="363"/>
      <c r="C564" s="129" t="s">
        <v>45</v>
      </c>
      <c r="D564" s="387">
        <v>7000</v>
      </c>
      <c r="E564" s="142">
        <v>7000</v>
      </c>
      <c r="F564" s="128">
        <v>0</v>
      </c>
      <c r="G564" s="387">
        <f t="shared" si="372"/>
        <v>0</v>
      </c>
      <c r="H564" s="142"/>
      <c r="I564" s="128">
        <v>0</v>
      </c>
      <c r="J564" s="387">
        <f t="shared" si="373"/>
        <v>7000</v>
      </c>
      <c r="K564" s="142">
        <f>E564+H564</f>
        <v>7000</v>
      </c>
      <c r="L564" s="128">
        <f>I564+F564</f>
        <v>0</v>
      </c>
      <c r="M564" s="387">
        <f t="shared" si="374"/>
        <v>0</v>
      </c>
      <c r="N564" s="142"/>
      <c r="O564" s="128">
        <v>0</v>
      </c>
      <c r="P564" s="387">
        <f t="shared" si="375"/>
        <v>7000</v>
      </c>
      <c r="Q564" s="142">
        <f>K564+N564</f>
        <v>7000</v>
      </c>
      <c r="R564" s="128">
        <f>O564+L564</f>
        <v>0</v>
      </c>
      <c r="S564" s="387">
        <f t="shared" si="376"/>
        <v>0</v>
      </c>
      <c r="T564" s="142"/>
      <c r="U564" s="128">
        <v>0</v>
      </c>
      <c r="V564" s="387">
        <f t="shared" si="377"/>
        <v>7000</v>
      </c>
      <c r="W564" s="142">
        <f>Q564+T564</f>
        <v>7000</v>
      </c>
      <c r="X564" s="128">
        <f>U564+R564</f>
        <v>0</v>
      </c>
      <c r="Y564" s="387">
        <f t="shared" si="378"/>
        <v>0</v>
      </c>
      <c r="Z564" s="142"/>
      <c r="AA564" s="128"/>
      <c r="AB564" s="387">
        <f t="shared" si="379"/>
        <v>7000</v>
      </c>
      <c r="AC564" s="142">
        <f>W564+Z564</f>
        <v>7000</v>
      </c>
      <c r="AD564" s="128">
        <f>AA564+X564</f>
        <v>0</v>
      </c>
      <c r="AF564" s="46">
        <f t="shared" si="371"/>
        <v>0</v>
      </c>
      <c r="AG564" s="46"/>
    </row>
    <row r="565" spans="1:33" ht="13.5" thickBot="1">
      <c r="A565" s="391"/>
      <c r="B565" s="152">
        <v>71015</v>
      </c>
      <c r="C565" s="153" t="s">
        <v>250</v>
      </c>
      <c r="D565" s="154">
        <v>1051000</v>
      </c>
      <c r="E565" s="155">
        <v>1051000</v>
      </c>
      <c r="F565" s="291">
        <v>0</v>
      </c>
      <c r="G565" s="154">
        <f t="shared" si="372"/>
        <v>0</v>
      </c>
      <c r="H565" s="155"/>
      <c r="I565" s="291">
        <v>0</v>
      </c>
      <c r="J565" s="154">
        <f t="shared" si="373"/>
        <v>1051000</v>
      </c>
      <c r="K565" s="155">
        <f>E565+H565</f>
        <v>1051000</v>
      </c>
      <c r="L565" s="291">
        <f>I565+F565</f>
        <v>0</v>
      </c>
      <c r="M565" s="154">
        <f t="shared" si="374"/>
        <v>0</v>
      </c>
      <c r="N565" s="155"/>
      <c r="O565" s="291">
        <v>0</v>
      </c>
      <c r="P565" s="154">
        <f t="shared" si="375"/>
        <v>1051000</v>
      </c>
      <c r="Q565" s="155">
        <f>K565+N565</f>
        <v>1051000</v>
      </c>
      <c r="R565" s="291">
        <f>O565+L565</f>
        <v>0</v>
      </c>
      <c r="S565" s="154">
        <f t="shared" si="376"/>
        <v>0</v>
      </c>
      <c r="T565" s="155"/>
      <c r="U565" s="291">
        <v>0</v>
      </c>
      <c r="V565" s="154">
        <f t="shared" si="377"/>
        <v>1051000</v>
      </c>
      <c r="W565" s="155">
        <f>Q565+T565</f>
        <v>1051000</v>
      </c>
      <c r="X565" s="291">
        <f>U565+R565</f>
        <v>0</v>
      </c>
      <c r="Y565" s="154">
        <f t="shared" si="378"/>
        <v>0</v>
      </c>
      <c r="Z565" s="155"/>
      <c r="AA565" s="291"/>
      <c r="AB565" s="154">
        <f t="shared" si="379"/>
        <v>1051000</v>
      </c>
      <c r="AC565" s="155">
        <f>W565+Z565</f>
        <v>1051000</v>
      </c>
      <c r="AD565" s="291">
        <f>AA565+X565</f>
        <v>0</v>
      </c>
      <c r="AF565" s="46">
        <f t="shared" si="371"/>
        <v>0</v>
      </c>
      <c r="AG565" s="46"/>
    </row>
    <row r="566" spans="1:33" ht="12.75">
      <c r="A566" s="391"/>
      <c r="B566" s="73">
        <v>750</v>
      </c>
      <c r="C566" s="134" t="s">
        <v>65</v>
      </c>
      <c r="D566" s="75">
        <v>1305200</v>
      </c>
      <c r="E566" s="76">
        <v>1305200</v>
      </c>
      <c r="F566" s="158">
        <v>0</v>
      </c>
      <c r="G566" s="75">
        <f t="shared" si="372"/>
        <v>0</v>
      </c>
      <c r="H566" s="76">
        <f>H567+H568</f>
        <v>0</v>
      </c>
      <c r="I566" s="158">
        <f>I567+I568</f>
        <v>0</v>
      </c>
      <c r="J566" s="75">
        <f t="shared" si="373"/>
        <v>1305200</v>
      </c>
      <c r="K566" s="76">
        <f>K567+K568</f>
        <v>1305200</v>
      </c>
      <c r="L566" s="158">
        <f>L567+L568</f>
        <v>0</v>
      </c>
      <c r="M566" s="75">
        <f t="shared" si="374"/>
        <v>0</v>
      </c>
      <c r="N566" s="76">
        <f>N567+N568</f>
        <v>0</v>
      </c>
      <c r="O566" s="158">
        <f>O567+O568</f>
        <v>0</v>
      </c>
      <c r="P566" s="75">
        <f t="shared" si="375"/>
        <v>1305200</v>
      </c>
      <c r="Q566" s="76">
        <f>Q567+Q568</f>
        <v>1305200</v>
      </c>
      <c r="R566" s="158">
        <f>R567+R568</f>
        <v>0</v>
      </c>
      <c r="S566" s="75">
        <f t="shared" si="376"/>
        <v>0</v>
      </c>
      <c r="T566" s="76">
        <f>T567+T568</f>
        <v>0</v>
      </c>
      <c r="U566" s="158">
        <f>U567+U568</f>
        <v>0</v>
      </c>
      <c r="V566" s="75">
        <f t="shared" si="377"/>
        <v>1305200</v>
      </c>
      <c r="W566" s="76">
        <f>W567+W568</f>
        <v>1305200</v>
      </c>
      <c r="X566" s="158">
        <f>X567+X568</f>
        <v>0</v>
      </c>
      <c r="Y566" s="75">
        <f t="shared" si="378"/>
        <v>0</v>
      </c>
      <c r="Z566" s="76">
        <f>Z567+Z568</f>
        <v>0</v>
      </c>
      <c r="AA566" s="158">
        <f>AA567+AA568</f>
        <v>0</v>
      </c>
      <c r="AB566" s="75">
        <f t="shared" si="379"/>
        <v>1305200</v>
      </c>
      <c r="AC566" s="76">
        <f>AC567+AC568</f>
        <v>1305200</v>
      </c>
      <c r="AD566" s="158">
        <f>AD567+AD568</f>
        <v>0</v>
      </c>
      <c r="AF566" s="46">
        <f t="shared" si="371"/>
        <v>0</v>
      </c>
      <c r="AG566" s="46"/>
    </row>
    <row r="567" spans="1:33" ht="12.75">
      <c r="A567" s="391"/>
      <c r="B567" s="106">
        <v>75011</v>
      </c>
      <c r="C567" s="83" t="s">
        <v>223</v>
      </c>
      <c r="D567" s="80">
        <v>1084200</v>
      </c>
      <c r="E567" s="138">
        <v>1084200</v>
      </c>
      <c r="F567" s="190">
        <v>0</v>
      </c>
      <c r="G567" s="80">
        <f t="shared" si="372"/>
        <v>0</v>
      </c>
      <c r="H567" s="138"/>
      <c r="I567" s="190">
        <v>0</v>
      </c>
      <c r="J567" s="80">
        <f t="shared" si="373"/>
        <v>1084200</v>
      </c>
      <c r="K567" s="138">
        <f>E567+H567</f>
        <v>1084200</v>
      </c>
      <c r="L567" s="190">
        <f>I567+F567</f>
        <v>0</v>
      </c>
      <c r="M567" s="80">
        <f t="shared" si="374"/>
        <v>0</v>
      </c>
      <c r="N567" s="138"/>
      <c r="O567" s="190">
        <v>0</v>
      </c>
      <c r="P567" s="80">
        <f t="shared" si="375"/>
        <v>1084200</v>
      </c>
      <c r="Q567" s="138">
        <f>K567+N567</f>
        <v>1084200</v>
      </c>
      <c r="R567" s="190">
        <f>O567+L567</f>
        <v>0</v>
      </c>
      <c r="S567" s="80">
        <f t="shared" si="376"/>
        <v>0</v>
      </c>
      <c r="T567" s="138"/>
      <c r="U567" s="190">
        <v>0</v>
      </c>
      <c r="V567" s="80">
        <f t="shared" si="377"/>
        <v>1084200</v>
      </c>
      <c r="W567" s="138">
        <f>Q567+T567</f>
        <v>1084200</v>
      </c>
      <c r="X567" s="190">
        <f>U567+R567</f>
        <v>0</v>
      </c>
      <c r="Y567" s="80">
        <f t="shared" si="378"/>
        <v>0</v>
      </c>
      <c r="Z567" s="138"/>
      <c r="AA567" s="190"/>
      <c r="AB567" s="80">
        <f t="shared" si="379"/>
        <v>1084200</v>
      </c>
      <c r="AC567" s="138">
        <f>W567+Z567</f>
        <v>1084200</v>
      </c>
      <c r="AD567" s="190">
        <f>AA567+X567</f>
        <v>0</v>
      </c>
      <c r="AF567" s="46">
        <f t="shared" si="371"/>
        <v>0</v>
      </c>
      <c r="AG567" s="46"/>
    </row>
    <row r="568" spans="1:33" ht="12.75">
      <c r="A568" s="391"/>
      <c r="B568" s="106">
        <v>75045</v>
      </c>
      <c r="C568" s="83" t="s">
        <v>251</v>
      </c>
      <c r="D568" s="80">
        <v>221000</v>
      </c>
      <c r="E568" s="138">
        <v>221000</v>
      </c>
      <c r="F568" s="82">
        <v>0</v>
      </c>
      <c r="G568" s="80">
        <f t="shared" si="372"/>
        <v>0</v>
      </c>
      <c r="H568" s="138"/>
      <c r="I568" s="82">
        <v>0</v>
      </c>
      <c r="J568" s="80">
        <f t="shared" si="373"/>
        <v>221000</v>
      </c>
      <c r="K568" s="138">
        <f>E568+H568</f>
        <v>221000</v>
      </c>
      <c r="L568" s="82">
        <f>I568+F568</f>
        <v>0</v>
      </c>
      <c r="M568" s="80">
        <f t="shared" si="374"/>
        <v>0</v>
      </c>
      <c r="N568" s="138"/>
      <c r="O568" s="82">
        <v>0</v>
      </c>
      <c r="P568" s="80">
        <f t="shared" si="375"/>
        <v>221000</v>
      </c>
      <c r="Q568" s="138">
        <f>K568+N568</f>
        <v>221000</v>
      </c>
      <c r="R568" s="82">
        <f>O568+L568</f>
        <v>0</v>
      </c>
      <c r="S568" s="80">
        <f t="shared" si="376"/>
        <v>0</v>
      </c>
      <c r="T568" s="138"/>
      <c r="U568" s="82">
        <v>0</v>
      </c>
      <c r="V568" s="80">
        <f t="shared" si="377"/>
        <v>221000</v>
      </c>
      <c r="W568" s="138">
        <f>Q568+T568</f>
        <v>221000</v>
      </c>
      <c r="X568" s="82">
        <f>U568+R568</f>
        <v>0</v>
      </c>
      <c r="Y568" s="80">
        <f t="shared" si="378"/>
        <v>0</v>
      </c>
      <c r="Z568" s="138"/>
      <c r="AA568" s="82"/>
      <c r="AB568" s="80">
        <f t="shared" si="379"/>
        <v>221000</v>
      </c>
      <c r="AC568" s="138">
        <f>W568+Z568</f>
        <v>221000</v>
      </c>
      <c r="AD568" s="82">
        <f>AA568+X568</f>
        <v>0</v>
      </c>
      <c r="AF568" s="46">
        <f t="shared" si="371"/>
        <v>0</v>
      </c>
      <c r="AG568" s="46"/>
    </row>
    <row r="569" spans="1:33" ht="12.75">
      <c r="A569" s="391"/>
      <c r="B569" s="133">
        <v>754</v>
      </c>
      <c r="C569" s="134" t="s">
        <v>310</v>
      </c>
      <c r="D569" s="103">
        <v>27729000</v>
      </c>
      <c r="E569" s="76">
        <v>27629000</v>
      </c>
      <c r="F569" s="171">
        <v>100000</v>
      </c>
      <c r="G569" s="103">
        <f t="shared" si="372"/>
        <v>0</v>
      </c>
      <c r="H569" s="76">
        <f>+H570+H571</f>
        <v>0</v>
      </c>
      <c r="I569" s="171">
        <f>+I570+I571</f>
        <v>0</v>
      </c>
      <c r="J569" s="103">
        <f t="shared" si="373"/>
        <v>27729000</v>
      </c>
      <c r="K569" s="76">
        <f>+K570+K571</f>
        <v>27629000</v>
      </c>
      <c r="L569" s="171">
        <f>+L570+L571</f>
        <v>100000</v>
      </c>
      <c r="M569" s="103">
        <f t="shared" si="374"/>
        <v>8440</v>
      </c>
      <c r="N569" s="76">
        <f>+N570+N571</f>
        <v>8440</v>
      </c>
      <c r="O569" s="171">
        <f>+O570+O571</f>
        <v>0</v>
      </c>
      <c r="P569" s="103">
        <f t="shared" si="375"/>
        <v>27737440</v>
      </c>
      <c r="Q569" s="76">
        <f>+Q570+Q571</f>
        <v>27637440</v>
      </c>
      <c r="R569" s="171">
        <f>+R570+R571</f>
        <v>100000</v>
      </c>
      <c r="S569" s="103">
        <f t="shared" si="376"/>
        <v>345850</v>
      </c>
      <c r="T569" s="76">
        <f>+T570+T571</f>
        <v>345850</v>
      </c>
      <c r="U569" s="171">
        <f>+U570+U571</f>
        <v>0</v>
      </c>
      <c r="V569" s="103">
        <f t="shared" si="377"/>
        <v>28083290</v>
      </c>
      <c r="W569" s="76">
        <f>+W570+W571</f>
        <v>27983290</v>
      </c>
      <c r="X569" s="171">
        <f>+X570+X571</f>
        <v>100000</v>
      </c>
      <c r="Y569" s="103">
        <f t="shared" si="378"/>
        <v>0</v>
      </c>
      <c r="Z569" s="76">
        <f>+Z570+Z571</f>
        <v>0</v>
      </c>
      <c r="AA569" s="171">
        <f>+AA570+AA571</f>
        <v>0</v>
      </c>
      <c r="AB569" s="103">
        <f t="shared" si="379"/>
        <v>28083290</v>
      </c>
      <c r="AC569" s="76">
        <f>+AC570+AC571</f>
        <v>27983290</v>
      </c>
      <c r="AD569" s="171">
        <f>+AD570+AD571</f>
        <v>100000</v>
      </c>
      <c r="AF569" s="46">
        <f t="shared" si="371"/>
        <v>0</v>
      </c>
      <c r="AG569" s="46"/>
    </row>
    <row r="570" spans="1:33" ht="12.75">
      <c r="A570" s="391"/>
      <c r="B570" s="106">
        <v>75411</v>
      </c>
      <c r="C570" s="83" t="s">
        <v>253</v>
      </c>
      <c r="D570" s="80">
        <v>27729000</v>
      </c>
      <c r="E570" s="138">
        <v>27629000</v>
      </c>
      <c r="F570" s="139">
        <v>100000</v>
      </c>
      <c r="G570" s="80">
        <f t="shared" si="372"/>
        <v>0</v>
      </c>
      <c r="H570" s="138"/>
      <c r="I570" s="139"/>
      <c r="J570" s="80">
        <f t="shared" si="373"/>
        <v>27729000</v>
      </c>
      <c r="K570" s="138">
        <f>E570+H570</f>
        <v>27629000</v>
      </c>
      <c r="L570" s="139">
        <f>I570+F570</f>
        <v>100000</v>
      </c>
      <c r="M570" s="80">
        <f t="shared" si="374"/>
        <v>8440</v>
      </c>
      <c r="N570" s="138">
        <v>8440</v>
      </c>
      <c r="O570" s="139"/>
      <c r="P570" s="80">
        <f t="shared" si="375"/>
        <v>27737440</v>
      </c>
      <c r="Q570" s="138">
        <f>K570+N570</f>
        <v>27637440</v>
      </c>
      <c r="R570" s="139">
        <f>O570+L570</f>
        <v>100000</v>
      </c>
      <c r="S570" s="80">
        <f t="shared" si="376"/>
        <v>345850</v>
      </c>
      <c r="T570" s="138">
        <v>345850</v>
      </c>
      <c r="U570" s="139"/>
      <c r="V570" s="80">
        <f t="shared" si="377"/>
        <v>28083290</v>
      </c>
      <c r="W570" s="138">
        <f>Q570+T570</f>
        <v>27983290</v>
      </c>
      <c r="X570" s="139">
        <f>U570+R570</f>
        <v>100000</v>
      </c>
      <c r="Y570" s="80">
        <f t="shared" si="378"/>
        <v>0</v>
      </c>
      <c r="Z570" s="138"/>
      <c r="AA570" s="139"/>
      <c r="AB570" s="80">
        <f t="shared" si="379"/>
        <v>28083290</v>
      </c>
      <c r="AC570" s="138">
        <f>W570+Z570</f>
        <v>27983290</v>
      </c>
      <c r="AD570" s="139">
        <f>AA570+X570</f>
        <v>100000</v>
      </c>
      <c r="AF570" s="46">
        <f t="shared" si="371"/>
        <v>0</v>
      </c>
      <c r="AG570" s="46"/>
    </row>
    <row r="571" spans="1:33" ht="12.75" customHeight="1">
      <c r="A571" s="391"/>
      <c r="B571" s="106">
        <v>75414</v>
      </c>
      <c r="C571" s="83" t="s">
        <v>78</v>
      </c>
      <c r="D571" s="80">
        <v>0</v>
      </c>
      <c r="E571" s="138">
        <v>0</v>
      </c>
      <c r="F571" s="139">
        <v>0</v>
      </c>
      <c r="G571" s="80">
        <f t="shared" si="372"/>
        <v>0</v>
      </c>
      <c r="H571" s="138">
        <v>0</v>
      </c>
      <c r="I571" s="139">
        <v>0</v>
      </c>
      <c r="J571" s="80">
        <f t="shared" si="373"/>
        <v>0</v>
      </c>
      <c r="K571" s="138">
        <f>E571+H571</f>
        <v>0</v>
      </c>
      <c r="L571" s="139">
        <f>I571+F571</f>
        <v>0</v>
      </c>
      <c r="M571" s="80">
        <f t="shared" si="374"/>
        <v>0</v>
      </c>
      <c r="N571" s="138">
        <v>0</v>
      </c>
      <c r="O571" s="139">
        <v>0</v>
      </c>
      <c r="P571" s="80">
        <f t="shared" si="375"/>
        <v>0</v>
      </c>
      <c r="Q571" s="138">
        <f>K571+N571</f>
        <v>0</v>
      </c>
      <c r="R571" s="139">
        <f>O571+L571</f>
        <v>0</v>
      </c>
      <c r="S571" s="80">
        <f t="shared" si="376"/>
        <v>0</v>
      </c>
      <c r="T571" s="138">
        <v>0</v>
      </c>
      <c r="U571" s="139">
        <v>0</v>
      </c>
      <c r="V571" s="80">
        <f t="shared" si="377"/>
        <v>0</v>
      </c>
      <c r="W571" s="138">
        <f>Q571+T571</f>
        <v>0</v>
      </c>
      <c r="X571" s="139">
        <f>U571+R571</f>
        <v>0</v>
      </c>
      <c r="Y571" s="80">
        <f t="shared" si="378"/>
        <v>0</v>
      </c>
      <c r="Z571" s="138"/>
      <c r="AA571" s="139"/>
      <c r="AB571" s="80">
        <f t="shared" si="379"/>
        <v>0</v>
      </c>
      <c r="AC571" s="138">
        <f>W571+Z571</f>
        <v>0</v>
      </c>
      <c r="AD571" s="139">
        <f>AA571+X571</f>
        <v>0</v>
      </c>
      <c r="AF571" s="46">
        <f t="shared" si="371"/>
        <v>0</v>
      </c>
      <c r="AG571" s="46"/>
    </row>
    <row r="572" spans="1:33" ht="12.75">
      <c r="A572" s="391"/>
      <c r="B572" s="101">
        <v>851</v>
      </c>
      <c r="C572" s="149" t="s">
        <v>135</v>
      </c>
      <c r="D572" s="103">
        <v>83005</v>
      </c>
      <c r="E572" s="104">
        <v>83005</v>
      </c>
      <c r="F572" s="105">
        <v>0</v>
      </c>
      <c r="G572" s="103">
        <f t="shared" si="372"/>
        <v>0</v>
      </c>
      <c r="H572" s="104">
        <f>H573</f>
        <v>0</v>
      </c>
      <c r="I572" s="105">
        <f>I573</f>
        <v>0</v>
      </c>
      <c r="J572" s="103">
        <f t="shared" si="373"/>
        <v>83005</v>
      </c>
      <c r="K572" s="104">
        <f>K573</f>
        <v>83005</v>
      </c>
      <c r="L572" s="105">
        <f>L573</f>
        <v>0</v>
      </c>
      <c r="M572" s="103">
        <f t="shared" si="374"/>
        <v>0</v>
      </c>
      <c r="N572" s="104">
        <f>N573</f>
        <v>0</v>
      </c>
      <c r="O572" s="105">
        <f>O573</f>
        <v>0</v>
      </c>
      <c r="P572" s="103">
        <f t="shared" si="375"/>
        <v>83005</v>
      </c>
      <c r="Q572" s="104">
        <f>Q573</f>
        <v>83005</v>
      </c>
      <c r="R572" s="105">
        <f>R573</f>
        <v>0</v>
      </c>
      <c r="S572" s="103">
        <f t="shared" si="376"/>
        <v>0</v>
      </c>
      <c r="T572" s="104">
        <f>T573</f>
        <v>0</v>
      </c>
      <c r="U572" s="105">
        <f>U573</f>
        <v>0</v>
      </c>
      <c r="V572" s="103">
        <f t="shared" si="377"/>
        <v>83005</v>
      </c>
      <c r="W572" s="104">
        <f>W573</f>
        <v>83005</v>
      </c>
      <c r="X572" s="105">
        <f>X573</f>
        <v>0</v>
      </c>
      <c r="Y572" s="103">
        <f t="shared" si="378"/>
        <v>0</v>
      </c>
      <c r="Z572" s="104">
        <f>Z573</f>
        <v>0</v>
      </c>
      <c r="AA572" s="105">
        <f>AA573</f>
        <v>0</v>
      </c>
      <c r="AB572" s="103">
        <f t="shared" si="379"/>
        <v>83005</v>
      </c>
      <c r="AC572" s="104">
        <f>AC573</f>
        <v>83005</v>
      </c>
      <c r="AD572" s="105">
        <f>AD573</f>
        <v>0</v>
      </c>
      <c r="AF572" s="46">
        <f t="shared" si="371"/>
        <v>0</v>
      </c>
      <c r="AG572" s="46"/>
    </row>
    <row r="573" spans="1:33" ht="26.25" customHeight="1">
      <c r="A573" s="391"/>
      <c r="B573" s="106">
        <v>85156</v>
      </c>
      <c r="C573" s="189" t="s">
        <v>268</v>
      </c>
      <c r="D573" s="80">
        <v>83005</v>
      </c>
      <c r="E573" s="138">
        <v>83005</v>
      </c>
      <c r="F573" s="82">
        <v>0</v>
      </c>
      <c r="G573" s="80">
        <f t="shared" si="372"/>
        <v>0</v>
      </c>
      <c r="H573" s="138"/>
      <c r="I573" s="82">
        <v>0</v>
      </c>
      <c r="J573" s="80">
        <f t="shared" si="373"/>
        <v>83005</v>
      </c>
      <c r="K573" s="138">
        <f>E573+H573</f>
        <v>83005</v>
      </c>
      <c r="L573" s="82">
        <f>I573+F573</f>
        <v>0</v>
      </c>
      <c r="M573" s="80">
        <f t="shared" si="374"/>
        <v>0</v>
      </c>
      <c r="N573" s="138"/>
      <c r="O573" s="82">
        <v>0</v>
      </c>
      <c r="P573" s="80">
        <f t="shared" si="375"/>
        <v>83005</v>
      </c>
      <c r="Q573" s="138">
        <f>K573+N573</f>
        <v>83005</v>
      </c>
      <c r="R573" s="82">
        <f>O573+L573</f>
        <v>0</v>
      </c>
      <c r="S573" s="80">
        <f t="shared" si="376"/>
        <v>0</v>
      </c>
      <c r="T573" s="138"/>
      <c r="U573" s="82">
        <v>0</v>
      </c>
      <c r="V573" s="80">
        <f t="shared" si="377"/>
        <v>83005</v>
      </c>
      <c r="W573" s="138">
        <f>Q573+T573</f>
        <v>83005</v>
      </c>
      <c r="X573" s="82">
        <f>U573+R573</f>
        <v>0</v>
      </c>
      <c r="Y573" s="80">
        <f t="shared" si="378"/>
        <v>0</v>
      </c>
      <c r="Z573" s="138"/>
      <c r="AA573" s="82"/>
      <c r="AB573" s="80">
        <f t="shared" si="379"/>
        <v>83005</v>
      </c>
      <c r="AC573" s="138">
        <f>W573+Z573</f>
        <v>83005</v>
      </c>
      <c r="AD573" s="82">
        <f>AA573+X573</f>
        <v>0</v>
      </c>
      <c r="AF573" s="46">
        <f t="shared" si="371"/>
        <v>0</v>
      </c>
      <c r="AG573" s="46"/>
    </row>
    <row r="574" spans="1:33" ht="12.75">
      <c r="A574" s="391"/>
      <c r="B574" s="101">
        <v>852</v>
      </c>
      <c r="C574" s="149" t="s">
        <v>147</v>
      </c>
      <c r="D574" s="103">
        <v>4470900</v>
      </c>
      <c r="E574" s="104">
        <v>4470900</v>
      </c>
      <c r="F574" s="171">
        <v>0</v>
      </c>
      <c r="G574" s="103">
        <f t="shared" si="372"/>
        <v>0</v>
      </c>
      <c r="H574" s="104">
        <f>SUM(H575:H577)</f>
        <v>0</v>
      </c>
      <c r="I574" s="171">
        <f>SUM(I575:I577)</f>
        <v>0</v>
      </c>
      <c r="J574" s="103">
        <f t="shared" si="373"/>
        <v>4470900</v>
      </c>
      <c r="K574" s="104">
        <f>SUM(K575:K577)</f>
        <v>4470900</v>
      </c>
      <c r="L574" s="171">
        <f>SUM(L575:L577)</f>
        <v>0</v>
      </c>
      <c r="M574" s="103">
        <f t="shared" si="374"/>
        <v>0</v>
      </c>
      <c r="N574" s="104">
        <f>SUM(N575:N577)</f>
        <v>0</v>
      </c>
      <c r="O574" s="171">
        <f>SUM(O575:O577)</f>
        <v>0</v>
      </c>
      <c r="P574" s="103">
        <f t="shared" si="375"/>
        <v>4470900</v>
      </c>
      <c r="Q574" s="104">
        <f>SUM(Q575:Q577)</f>
        <v>4470900</v>
      </c>
      <c r="R574" s="171">
        <f>SUM(R575:R577)</f>
        <v>0</v>
      </c>
      <c r="S574" s="103">
        <f t="shared" si="376"/>
        <v>0</v>
      </c>
      <c r="T574" s="104">
        <f>SUM(T575:T577)</f>
        <v>0</v>
      </c>
      <c r="U574" s="171">
        <f>SUM(U575:U577)</f>
        <v>0</v>
      </c>
      <c r="V574" s="103">
        <f t="shared" si="377"/>
        <v>4470900</v>
      </c>
      <c r="W574" s="104">
        <f>SUM(W575:W577)</f>
        <v>4470900</v>
      </c>
      <c r="X574" s="171">
        <f>SUM(X575:X577)</f>
        <v>0</v>
      </c>
      <c r="Y574" s="103">
        <f t="shared" si="378"/>
        <v>0</v>
      </c>
      <c r="Z574" s="104">
        <f>SUM(Z575:Z577)</f>
        <v>0</v>
      </c>
      <c r="AA574" s="171">
        <f>SUM(AA575:AA577)</f>
        <v>0</v>
      </c>
      <c r="AB574" s="103">
        <f t="shared" si="379"/>
        <v>4470900</v>
      </c>
      <c r="AC574" s="104">
        <f>SUM(AC575:AC577)</f>
        <v>4470900</v>
      </c>
      <c r="AD574" s="171">
        <f>SUM(AD575:AD577)</f>
        <v>0</v>
      </c>
      <c r="AF574" s="46">
        <f t="shared" si="371"/>
        <v>0</v>
      </c>
      <c r="AG574" s="46"/>
    </row>
    <row r="575" spans="1:33" ht="14.25" customHeight="1">
      <c r="A575" s="391"/>
      <c r="B575" s="106">
        <v>85203</v>
      </c>
      <c r="C575" s="83" t="s">
        <v>149</v>
      </c>
      <c r="D575" s="80">
        <v>4470900</v>
      </c>
      <c r="E575" s="138">
        <v>4470900</v>
      </c>
      <c r="F575" s="82">
        <v>0</v>
      </c>
      <c r="G575" s="80">
        <f t="shared" si="372"/>
        <v>0</v>
      </c>
      <c r="H575" s="138"/>
      <c r="I575" s="82">
        <v>0</v>
      </c>
      <c r="J575" s="80">
        <f t="shared" si="373"/>
        <v>4470900</v>
      </c>
      <c r="K575" s="138">
        <f>E575+H575</f>
        <v>4470900</v>
      </c>
      <c r="L575" s="82">
        <f>I575+F575</f>
        <v>0</v>
      </c>
      <c r="M575" s="80">
        <f t="shared" si="374"/>
        <v>0</v>
      </c>
      <c r="N575" s="138"/>
      <c r="O575" s="82">
        <v>0</v>
      </c>
      <c r="P575" s="80">
        <f t="shared" si="375"/>
        <v>4470900</v>
      </c>
      <c r="Q575" s="138">
        <f>K575+N575</f>
        <v>4470900</v>
      </c>
      <c r="R575" s="82">
        <f>O575+L575</f>
        <v>0</v>
      </c>
      <c r="S575" s="80">
        <f t="shared" si="376"/>
        <v>0</v>
      </c>
      <c r="T575" s="138"/>
      <c r="U575" s="82">
        <v>0</v>
      </c>
      <c r="V575" s="80">
        <f t="shared" si="377"/>
        <v>4470900</v>
      </c>
      <c r="W575" s="138">
        <f>Q575+T575</f>
        <v>4470900</v>
      </c>
      <c r="X575" s="82">
        <f>U575+R575</f>
        <v>0</v>
      </c>
      <c r="Y575" s="80">
        <f t="shared" si="378"/>
        <v>0</v>
      </c>
      <c r="Z575" s="138"/>
      <c r="AA575" s="82"/>
      <c r="AB575" s="80">
        <f t="shared" si="379"/>
        <v>4470900</v>
      </c>
      <c r="AC575" s="138">
        <f>W575+Z575</f>
        <v>4470900</v>
      </c>
      <c r="AD575" s="82">
        <f>AA575+X575</f>
        <v>0</v>
      </c>
      <c r="AF575" s="46">
        <f t="shared" si="371"/>
        <v>0</v>
      </c>
      <c r="AG575" s="46"/>
    </row>
    <row r="576" spans="1:33" ht="14.25" customHeight="1" hidden="1">
      <c r="A576" s="391"/>
      <c r="B576" s="140">
        <v>85212</v>
      </c>
      <c r="C576" s="129" t="s">
        <v>311</v>
      </c>
      <c r="D576" s="112">
        <v>0</v>
      </c>
      <c r="E576" s="142">
        <v>0</v>
      </c>
      <c r="F576" s="114">
        <v>0</v>
      </c>
      <c r="G576" s="112">
        <f t="shared" si="372"/>
        <v>0</v>
      </c>
      <c r="H576" s="142">
        <v>0</v>
      </c>
      <c r="I576" s="114">
        <v>0</v>
      </c>
      <c r="J576" s="112">
        <f t="shared" si="373"/>
        <v>0</v>
      </c>
      <c r="K576" s="142">
        <v>0</v>
      </c>
      <c r="L576" s="114">
        <v>0</v>
      </c>
      <c r="M576" s="112">
        <f t="shared" si="374"/>
        <v>0</v>
      </c>
      <c r="N576" s="142">
        <v>0</v>
      </c>
      <c r="O576" s="114">
        <v>0</v>
      </c>
      <c r="P576" s="112">
        <f t="shared" si="375"/>
        <v>0</v>
      </c>
      <c r="Q576" s="142">
        <v>0</v>
      </c>
      <c r="R576" s="114">
        <v>0</v>
      </c>
      <c r="S576" s="112">
        <f t="shared" si="376"/>
        <v>0</v>
      </c>
      <c r="T576" s="142">
        <v>0</v>
      </c>
      <c r="U576" s="114">
        <v>0</v>
      </c>
      <c r="V576" s="112">
        <f t="shared" si="377"/>
        <v>0</v>
      </c>
      <c r="W576" s="142">
        <v>0</v>
      </c>
      <c r="X576" s="114">
        <v>0</v>
      </c>
      <c r="Y576" s="112">
        <f t="shared" si="378"/>
        <v>0</v>
      </c>
      <c r="Z576" s="142">
        <v>0</v>
      </c>
      <c r="AA576" s="114">
        <v>0</v>
      </c>
      <c r="AB576" s="112">
        <f t="shared" si="379"/>
        <v>0</v>
      </c>
      <c r="AC576" s="142">
        <v>0</v>
      </c>
      <c r="AD576" s="114">
        <v>0</v>
      </c>
      <c r="AF576" s="46">
        <f t="shared" si="371"/>
        <v>0</v>
      </c>
      <c r="AG576" s="46"/>
    </row>
    <row r="577" spans="1:33" ht="14.25" customHeight="1" hidden="1">
      <c r="A577" s="391"/>
      <c r="B577" s="106">
        <v>85231</v>
      </c>
      <c r="C577" s="83" t="s">
        <v>312</v>
      </c>
      <c r="D577" s="80">
        <v>0</v>
      </c>
      <c r="E577" s="138">
        <v>0</v>
      </c>
      <c r="F577" s="82">
        <v>0</v>
      </c>
      <c r="G577" s="80">
        <f t="shared" si="372"/>
        <v>0</v>
      </c>
      <c r="H577" s="138">
        <v>0</v>
      </c>
      <c r="I577" s="82">
        <v>0</v>
      </c>
      <c r="J577" s="80">
        <f t="shared" si="373"/>
        <v>0</v>
      </c>
      <c r="K577" s="138">
        <v>0</v>
      </c>
      <c r="L577" s="82">
        <v>0</v>
      </c>
      <c r="M577" s="80">
        <f t="shared" si="374"/>
        <v>0</v>
      </c>
      <c r="N577" s="138">
        <v>0</v>
      </c>
      <c r="O577" s="82">
        <v>0</v>
      </c>
      <c r="P577" s="80">
        <f t="shared" si="375"/>
        <v>0</v>
      </c>
      <c r="Q577" s="138">
        <v>0</v>
      </c>
      <c r="R577" s="82">
        <v>0</v>
      </c>
      <c r="S577" s="80">
        <f t="shared" si="376"/>
        <v>0</v>
      </c>
      <c r="T577" s="138">
        <v>0</v>
      </c>
      <c r="U577" s="82">
        <v>0</v>
      </c>
      <c r="V577" s="80">
        <f t="shared" si="377"/>
        <v>0</v>
      </c>
      <c r="W577" s="138">
        <v>0</v>
      </c>
      <c r="X577" s="82">
        <v>0</v>
      </c>
      <c r="Y577" s="80">
        <f t="shared" si="378"/>
        <v>0</v>
      </c>
      <c r="Z577" s="138">
        <v>0</v>
      </c>
      <c r="AA577" s="82">
        <v>0</v>
      </c>
      <c r="AB577" s="80">
        <f t="shared" si="379"/>
        <v>0</v>
      </c>
      <c r="AC577" s="138">
        <v>0</v>
      </c>
      <c r="AD577" s="82">
        <v>0</v>
      </c>
      <c r="AF577" s="46">
        <f t="shared" si="371"/>
        <v>0</v>
      </c>
      <c r="AG577" s="46"/>
    </row>
    <row r="578" spans="1:33" ht="12.75">
      <c r="A578" s="391"/>
      <c r="B578" s="101">
        <v>853</v>
      </c>
      <c r="C578" s="149" t="s">
        <v>167</v>
      </c>
      <c r="D578" s="103">
        <v>724800</v>
      </c>
      <c r="E578" s="104">
        <v>724800</v>
      </c>
      <c r="F578" s="171">
        <v>0</v>
      </c>
      <c r="G578" s="103">
        <f t="shared" si="372"/>
        <v>0</v>
      </c>
      <c r="H578" s="104">
        <f>H579+H580</f>
        <v>0</v>
      </c>
      <c r="I578" s="171">
        <f>I579</f>
        <v>0</v>
      </c>
      <c r="J578" s="103">
        <f t="shared" si="373"/>
        <v>724800</v>
      </c>
      <c r="K578" s="104">
        <f>K579+K580</f>
        <v>724800</v>
      </c>
      <c r="L578" s="171">
        <f>L579</f>
        <v>0</v>
      </c>
      <c r="M578" s="103">
        <f t="shared" si="374"/>
        <v>0</v>
      </c>
      <c r="N578" s="104">
        <f>N579+N580</f>
        <v>0</v>
      </c>
      <c r="O578" s="171">
        <f>O579</f>
        <v>0</v>
      </c>
      <c r="P578" s="103">
        <f t="shared" si="375"/>
        <v>724800</v>
      </c>
      <c r="Q578" s="104">
        <f>Q579+Q580</f>
        <v>724800</v>
      </c>
      <c r="R578" s="171">
        <f>R579</f>
        <v>0</v>
      </c>
      <c r="S578" s="103">
        <f t="shared" si="376"/>
        <v>21162</v>
      </c>
      <c r="T578" s="104">
        <f>T579+T580</f>
        <v>21162</v>
      </c>
      <c r="U578" s="171">
        <f>U579</f>
        <v>0</v>
      </c>
      <c r="V578" s="103">
        <f t="shared" si="377"/>
        <v>745962</v>
      </c>
      <c r="W578" s="104">
        <f>W579+W580</f>
        <v>745962</v>
      </c>
      <c r="X578" s="171">
        <f>X579</f>
        <v>0</v>
      </c>
      <c r="Y578" s="103">
        <f t="shared" si="378"/>
        <v>19855</v>
      </c>
      <c r="Z578" s="104">
        <f>Z579+Z580</f>
        <v>19855</v>
      </c>
      <c r="AA578" s="171">
        <f>AA579</f>
        <v>0</v>
      </c>
      <c r="AB578" s="103">
        <f t="shared" si="379"/>
        <v>765817</v>
      </c>
      <c r="AC578" s="104">
        <f>AC579+AC580</f>
        <v>765817</v>
      </c>
      <c r="AD578" s="171">
        <f>AD579</f>
        <v>0</v>
      </c>
      <c r="AF578" s="46">
        <f t="shared" si="371"/>
        <v>0</v>
      </c>
      <c r="AG578" s="46"/>
    </row>
    <row r="579" spans="1:33" ht="12.75">
      <c r="A579" s="391"/>
      <c r="B579" s="140">
        <v>85321</v>
      </c>
      <c r="C579" s="129" t="s">
        <v>313</v>
      </c>
      <c r="D579" s="112">
        <v>724800</v>
      </c>
      <c r="E579" s="142">
        <v>724800</v>
      </c>
      <c r="F579" s="128">
        <v>0</v>
      </c>
      <c r="G579" s="112">
        <f t="shared" si="372"/>
        <v>0</v>
      </c>
      <c r="H579" s="142"/>
      <c r="I579" s="128">
        <v>0</v>
      </c>
      <c r="J579" s="112">
        <f t="shared" si="373"/>
        <v>724800</v>
      </c>
      <c r="K579" s="142">
        <f>E579+H579</f>
        <v>724800</v>
      </c>
      <c r="L579" s="128">
        <f>I579+F579</f>
        <v>0</v>
      </c>
      <c r="M579" s="112">
        <f t="shared" si="374"/>
        <v>0</v>
      </c>
      <c r="N579" s="142"/>
      <c r="O579" s="128">
        <v>0</v>
      </c>
      <c r="P579" s="112">
        <f t="shared" si="375"/>
        <v>724800</v>
      </c>
      <c r="Q579" s="142">
        <f>K579+N579</f>
        <v>724800</v>
      </c>
      <c r="R579" s="128">
        <f>O579+L579</f>
        <v>0</v>
      </c>
      <c r="S579" s="112">
        <f t="shared" si="376"/>
        <v>0</v>
      </c>
      <c r="T579" s="142"/>
      <c r="U579" s="128">
        <v>0</v>
      </c>
      <c r="V579" s="112">
        <f t="shared" si="377"/>
        <v>724800</v>
      </c>
      <c r="W579" s="142">
        <f>Q579+T579</f>
        <v>724800</v>
      </c>
      <c r="X579" s="128">
        <f>U579+R579</f>
        <v>0</v>
      </c>
      <c r="Y579" s="112">
        <f t="shared" si="378"/>
        <v>0</v>
      </c>
      <c r="Z579" s="142"/>
      <c r="AA579" s="128"/>
      <c r="AB579" s="112">
        <f t="shared" si="379"/>
        <v>724800</v>
      </c>
      <c r="AC579" s="142">
        <f>W579+Z579</f>
        <v>724800</v>
      </c>
      <c r="AD579" s="128">
        <f>AA579+X579</f>
        <v>0</v>
      </c>
      <c r="AF579" s="46">
        <f t="shared" si="371"/>
        <v>0</v>
      </c>
      <c r="AG579" s="46"/>
    </row>
    <row r="580" spans="1:33" s="120" customFormat="1" ht="12.75" customHeight="1">
      <c r="A580" s="391"/>
      <c r="B580" s="136">
        <v>85334</v>
      </c>
      <c r="C580" s="137" t="s">
        <v>285</v>
      </c>
      <c r="D580" s="165">
        <v>0</v>
      </c>
      <c r="E580" s="138"/>
      <c r="F580" s="139"/>
      <c r="G580" s="165">
        <f t="shared" si="372"/>
        <v>0</v>
      </c>
      <c r="H580" s="138"/>
      <c r="I580" s="139"/>
      <c r="J580" s="165">
        <f t="shared" si="373"/>
        <v>0</v>
      </c>
      <c r="K580" s="138"/>
      <c r="L580" s="139"/>
      <c r="M580" s="165">
        <f t="shared" si="374"/>
        <v>0</v>
      </c>
      <c r="N580" s="138"/>
      <c r="O580" s="139"/>
      <c r="P580" s="165">
        <f t="shared" si="375"/>
        <v>0</v>
      </c>
      <c r="Q580" s="138"/>
      <c r="R580" s="139"/>
      <c r="S580" s="165">
        <f t="shared" si="376"/>
        <v>21162</v>
      </c>
      <c r="T580" s="138">
        <f>14226+6936</f>
        <v>21162</v>
      </c>
      <c r="U580" s="139"/>
      <c r="V580" s="165">
        <f t="shared" si="377"/>
        <v>21162</v>
      </c>
      <c r="W580" s="142">
        <f>Q580+T580</f>
        <v>21162</v>
      </c>
      <c r="X580" s="128">
        <f>U580+R580</f>
        <v>0</v>
      </c>
      <c r="Y580" s="165">
        <f t="shared" si="378"/>
        <v>19855</v>
      </c>
      <c r="Z580" s="138">
        <f>12734+7121</f>
        <v>19855</v>
      </c>
      <c r="AA580" s="139"/>
      <c r="AB580" s="165">
        <f t="shared" si="379"/>
        <v>41017</v>
      </c>
      <c r="AC580" s="142">
        <f>W580+Z580</f>
        <v>41017</v>
      </c>
      <c r="AD580" s="128">
        <f>AA580+X580</f>
        <v>0</v>
      </c>
      <c r="AF580" s="46">
        <f t="shared" si="371"/>
        <v>0</v>
      </c>
      <c r="AG580" s="46"/>
    </row>
    <row r="581" spans="1:33" ht="8.25" customHeight="1">
      <c r="A581" s="391"/>
      <c r="B581" s="108"/>
      <c r="C581" s="90"/>
      <c r="D581" s="91"/>
      <c r="E581" s="92"/>
      <c r="F581" s="93"/>
      <c r="G581" s="91"/>
      <c r="H581" s="92"/>
      <c r="I581" s="93"/>
      <c r="J581" s="91"/>
      <c r="K581" s="92"/>
      <c r="L581" s="93"/>
      <c r="M581" s="91"/>
      <c r="N581" s="92"/>
      <c r="O581" s="93"/>
      <c r="P581" s="91"/>
      <c r="Q581" s="92"/>
      <c r="R581" s="93"/>
      <c r="S581" s="91"/>
      <c r="T581" s="92"/>
      <c r="U581" s="93"/>
      <c r="V581" s="91"/>
      <c r="W581" s="92"/>
      <c r="X581" s="93"/>
      <c r="Y581" s="91"/>
      <c r="Z581" s="92"/>
      <c r="AA581" s="93"/>
      <c r="AB581" s="91"/>
      <c r="AC581" s="92"/>
      <c r="AD581" s="93"/>
      <c r="AF581" s="46">
        <f t="shared" si="371"/>
        <v>0</v>
      </c>
      <c r="AG581" s="46"/>
    </row>
    <row r="582" spans="1:33" s="336" customFormat="1" ht="24.75" customHeight="1">
      <c r="A582" s="398"/>
      <c r="B582" s="331"/>
      <c r="C582" s="402" t="s">
        <v>234</v>
      </c>
      <c r="D582" s="333">
        <v>0</v>
      </c>
      <c r="E582" s="334">
        <v>0</v>
      </c>
      <c r="F582" s="403">
        <v>0</v>
      </c>
      <c r="G582" s="333">
        <f>H582+I582</f>
        <v>0</v>
      </c>
      <c r="H582" s="334">
        <f>H584+H592+H590+H587</f>
        <v>0</v>
      </c>
      <c r="I582" s="403">
        <f>I584+I592+I587</f>
        <v>0</v>
      </c>
      <c r="J582" s="333">
        <f>K582+L582</f>
        <v>0</v>
      </c>
      <c r="K582" s="334">
        <f>K584+K592+K590+K587</f>
        <v>0</v>
      </c>
      <c r="L582" s="403">
        <f>L584+L592+L587</f>
        <v>0</v>
      </c>
      <c r="M582" s="333">
        <f>N582+O582</f>
        <v>133000</v>
      </c>
      <c r="N582" s="334">
        <f>N584+N592+N590+N587</f>
        <v>133000</v>
      </c>
      <c r="O582" s="403">
        <f>O584+O592+O587</f>
        <v>0</v>
      </c>
      <c r="P582" s="333">
        <f>Q582+R582</f>
        <v>133000</v>
      </c>
      <c r="Q582" s="334">
        <f>Q584+Q592+Q590+Q587</f>
        <v>133000</v>
      </c>
      <c r="R582" s="403">
        <f>R584+R592+R587</f>
        <v>0</v>
      </c>
      <c r="S582" s="333">
        <f>T582+U582</f>
        <v>0</v>
      </c>
      <c r="T582" s="334">
        <f>T584+T592+T590+T587</f>
        <v>0</v>
      </c>
      <c r="U582" s="403">
        <f>U584+U592+U587</f>
        <v>0</v>
      </c>
      <c r="V582" s="333">
        <f>W582+X582</f>
        <v>133000</v>
      </c>
      <c r="W582" s="334">
        <f>W584+W592+W590+W587</f>
        <v>133000</v>
      </c>
      <c r="X582" s="403">
        <f>X584+X592+X587</f>
        <v>0</v>
      </c>
      <c r="Y582" s="333">
        <f>Z582+AA582</f>
        <v>0</v>
      </c>
      <c r="Z582" s="334">
        <f>Z584+Z592+Z590+Z587</f>
        <v>0</v>
      </c>
      <c r="AA582" s="403">
        <f>AA584+AA592+AA587</f>
        <v>0</v>
      </c>
      <c r="AB582" s="333">
        <f>AC582+AD582</f>
        <v>133000</v>
      </c>
      <c r="AC582" s="334">
        <f>AC584+AC592+AC590+AC587</f>
        <v>133000</v>
      </c>
      <c r="AD582" s="403">
        <f>AD584+AD592+AD587</f>
        <v>0</v>
      </c>
      <c r="AF582" s="46">
        <f t="shared" si="371"/>
        <v>0</v>
      </c>
      <c r="AG582" s="46"/>
    </row>
    <row r="583" spans="1:33" ht="8.25" customHeight="1">
      <c r="A583" s="391"/>
      <c r="B583" s="140"/>
      <c r="C583" s="129"/>
      <c r="D583" s="112"/>
      <c r="E583" s="142"/>
      <c r="F583" s="150"/>
      <c r="G583" s="112"/>
      <c r="H583" s="142"/>
      <c r="I583" s="150"/>
      <c r="J583" s="112"/>
      <c r="K583" s="142"/>
      <c r="L583" s="150"/>
      <c r="M583" s="112"/>
      <c r="N583" s="142"/>
      <c r="O583" s="150"/>
      <c r="P583" s="112"/>
      <c r="Q583" s="142"/>
      <c r="R583" s="150"/>
      <c r="S583" s="112"/>
      <c r="T583" s="142"/>
      <c r="U583" s="150"/>
      <c r="V583" s="112"/>
      <c r="W583" s="142"/>
      <c r="X583" s="150"/>
      <c r="Y583" s="112"/>
      <c r="Z583" s="142"/>
      <c r="AA583" s="150"/>
      <c r="AB583" s="112"/>
      <c r="AC583" s="142"/>
      <c r="AD583" s="150"/>
      <c r="AF583" s="46">
        <f t="shared" si="371"/>
        <v>0</v>
      </c>
      <c r="AG583" s="46"/>
    </row>
    <row r="584" spans="1:33" ht="12.75" customHeight="1">
      <c r="A584" s="391"/>
      <c r="B584" s="133">
        <v>801</v>
      </c>
      <c r="C584" s="134" t="s">
        <v>113</v>
      </c>
      <c r="D584" s="75">
        <v>0</v>
      </c>
      <c r="E584" s="76">
        <v>0</v>
      </c>
      <c r="F584" s="158">
        <v>0</v>
      </c>
      <c r="G584" s="75">
        <f>H584+I584</f>
        <v>0</v>
      </c>
      <c r="H584" s="76">
        <f>-H585+H586</f>
        <v>0</v>
      </c>
      <c r="I584" s="158">
        <f>I585</f>
        <v>0</v>
      </c>
      <c r="J584" s="75">
        <f>K584+L584</f>
        <v>0</v>
      </c>
      <c r="K584" s="76">
        <f>-K585+K586</f>
        <v>0</v>
      </c>
      <c r="L584" s="158">
        <f>L585</f>
        <v>0</v>
      </c>
      <c r="M584" s="75">
        <f>N584+O584</f>
        <v>133000</v>
      </c>
      <c r="N584" s="76">
        <f>-N585+N586</f>
        <v>133000</v>
      </c>
      <c r="O584" s="158">
        <f>O585</f>
        <v>0</v>
      </c>
      <c r="P584" s="75">
        <f>Q584+R584</f>
        <v>133000</v>
      </c>
      <c r="Q584" s="76">
        <f>-Q585+Q586</f>
        <v>133000</v>
      </c>
      <c r="R584" s="158">
        <f>R585</f>
        <v>0</v>
      </c>
      <c r="S584" s="75">
        <f>T584+U584</f>
        <v>0</v>
      </c>
      <c r="T584" s="76">
        <f>-T585+T586</f>
        <v>0</v>
      </c>
      <c r="U584" s="158">
        <f>U585</f>
        <v>0</v>
      </c>
      <c r="V584" s="75">
        <f>W584+X584</f>
        <v>133000</v>
      </c>
      <c r="W584" s="76">
        <f>-W585+W586</f>
        <v>133000</v>
      </c>
      <c r="X584" s="158">
        <f>X585</f>
        <v>0</v>
      </c>
      <c r="Y584" s="75">
        <f>Z584+AA584</f>
        <v>0</v>
      </c>
      <c r="Z584" s="76">
        <f>-Z585+Z586</f>
        <v>0</v>
      </c>
      <c r="AA584" s="158">
        <f>AA585</f>
        <v>0</v>
      </c>
      <c r="AB584" s="75">
        <f>AC584+AD584</f>
        <v>133000</v>
      </c>
      <c r="AC584" s="76">
        <f>-AC585+AC586</f>
        <v>133000</v>
      </c>
      <c r="AD584" s="158">
        <f>AD585</f>
        <v>0</v>
      </c>
      <c r="AF584" s="46">
        <f t="shared" si="371"/>
        <v>0</v>
      </c>
      <c r="AG584" s="46"/>
    </row>
    <row r="585" spans="1:33" ht="12.75" hidden="1">
      <c r="A585" s="391"/>
      <c r="B585" s="106">
        <v>80132</v>
      </c>
      <c r="C585" s="83" t="s">
        <v>263</v>
      </c>
      <c r="D585" s="80">
        <v>0</v>
      </c>
      <c r="E585" s="138"/>
      <c r="F585" s="139"/>
      <c r="G585" s="80">
        <f>H585+I585</f>
        <v>0</v>
      </c>
      <c r="H585" s="138"/>
      <c r="I585" s="139"/>
      <c r="J585" s="80">
        <f>K585+L585</f>
        <v>0</v>
      </c>
      <c r="K585" s="138"/>
      <c r="L585" s="139"/>
      <c r="M585" s="80">
        <f>N585+O585</f>
        <v>0</v>
      </c>
      <c r="N585" s="138"/>
      <c r="O585" s="139"/>
      <c r="P585" s="80">
        <f>Q585+R585</f>
        <v>0</v>
      </c>
      <c r="Q585" s="138"/>
      <c r="R585" s="139"/>
      <c r="S585" s="80">
        <f>T585+U585</f>
        <v>0</v>
      </c>
      <c r="T585" s="138"/>
      <c r="U585" s="139"/>
      <c r="V585" s="80">
        <f>W585+X585</f>
        <v>0</v>
      </c>
      <c r="W585" s="138"/>
      <c r="X585" s="139"/>
      <c r="Y585" s="80">
        <f>Z585+AA585</f>
        <v>0</v>
      </c>
      <c r="Z585" s="138"/>
      <c r="AA585" s="139"/>
      <c r="AB585" s="80">
        <f>AC585+AD585</f>
        <v>0</v>
      </c>
      <c r="AC585" s="138"/>
      <c r="AD585" s="139"/>
      <c r="AF585" s="46">
        <f t="shared" si="371"/>
        <v>0</v>
      </c>
      <c r="AG585" s="46"/>
    </row>
    <row r="586" spans="1:33" ht="13.5" customHeight="1" thickBot="1">
      <c r="A586" s="391"/>
      <c r="B586" s="152">
        <v>80195</v>
      </c>
      <c r="C586" s="153" t="s">
        <v>29</v>
      </c>
      <c r="D586" s="154">
        <v>0</v>
      </c>
      <c r="E586" s="155"/>
      <c r="F586" s="388"/>
      <c r="G586" s="154">
        <f>H586+I586</f>
        <v>0</v>
      </c>
      <c r="H586" s="155"/>
      <c r="I586" s="388"/>
      <c r="J586" s="154">
        <f>K586+L586</f>
        <v>0</v>
      </c>
      <c r="K586" s="155"/>
      <c r="L586" s="291"/>
      <c r="M586" s="154">
        <f>N586+O586</f>
        <v>133000</v>
      </c>
      <c r="N586" s="155">
        <v>133000</v>
      </c>
      <c r="O586" s="388"/>
      <c r="P586" s="154">
        <f>Q586+R586</f>
        <v>133000</v>
      </c>
      <c r="Q586" s="155">
        <f>K586+N586</f>
        <v>133000</v>
      </c>
      <c r="R586" s="388"/>
      <c r="S586" s="154">
        <f>T586+U586</f>
        <v>0</v>
      </c>
      <c r="T586" s="155">
        <v>0</v>
      </c>
      <c r="U586" s="388"/>
      <c r="V586" s="154">
        <f>W586+X586</f>
        <v>133000</v>
      </c>
      <c r="W586" s="155">
        <f>Q586+T586</f>
        <v>133000</v>
      </c>
      <c r="X586" s="388"/>
      <c r="Y586" s="154">
        <f>Z586+AA586</f>
        <v>0</v>
      </c>
      <c r="Z586" s="155"/>
      <c r="AA586" s="388"/>
      <c r="AB586" s="154">
        <f>AC586+AD586</f>
        <v>133000</v>
      </c>
      <c r="AC586" s="155">
        <f>W586+Z586</f>
        <v>133000</v>
      </c>
      <c r="AD586" s="388"/>
      <c r="AF586" s="46">
        <f t="shared" si="371"/>
        <v>0</v>
      </c>
      <c r="AG586" s="46"/>
    </row>
    <row r="587" spans="1:30" ht="12.75" customHeight="1" hidden="1">
      <c r="A587" s="391"/>
      <c r="B587" s="133">
        <v>921</v>
      </c>
      <c r="C587" s="134" t="s">
        <v>196</v>
      </c>
      <c r="D587" s="75">
        <v>0</v>
      </c>
      <c r="E587" s="76">
        <v>0</v>
      </c>
      <c r="F587" s="158">
        <v>0</v>
      </c>
      <c r="G587" s="75">
        <f>H587+I587</f>
        <v>0</v>
      </c>
      <c r="H587" s="76">
        <f>H588</f>
        <v>0</v>
      </c>
      <c r="I587" s="158">
        <f>I588</f>
        <v>0</v>
      </c>
      <c r="J587" s="75">
        <f>K587+L587</f>
        <v>0</v>
      </c>
      <c r="K587" s="76">
        <f>K588</f>
        <v>0</v>
      </c>
      <c r="L587" s="158">
        <f>L588</f>
        <v>0</v>
      </c>
      <c r="M587" s="75">
        <f>N587+O587</f>
        <v>0</v>
      </c>
      <c r="N587" s="76">
        <f>N588</f>
        <v>0</v>
      </c>
      <c r="O587" s="158">
        <f>O588</f>
        <v>0</v>
      </c>
      <c r="P587" s="75">
        <f>Q587+R587</f>
        <v>0</v>
      </c>
      <c r="Q587" s="76">
        <f>Q588</f>
        <v>0</v>
      </c>
      <c r="R587" s="158">
        <f>R588</f>
        <v>0</v>
      </c>
      <c r="S587" s="75">
        <f>T587+U587</f>
        <v>0</v>
      </c>
      <c r="T587" s="76">
        <f>T588</f>
        <v>0</v>
      </c>
      <c r="U587" s="158">
        <f>U588</f>
        <v>0</v>
      </c>
      <c r="V587" s="75">
        <f>W587+X587</f>
        <v>0</v>
      </c>
      <c r="W587" s="76">
        <f>W588</f>
        <v>0</v>
      </c>
      <c r="X587" s="158">
        <f>X588</f>
        <v>0</v>
      </c>
      <c r="Y587" s="75">
        <f>Z587+AA587</f>
        <v>0</v>
      </c>
      <c r="Z587" s="76">
        <f>Z588</f>
        <v>0</v>
      </c>
      <c r="AA587" s="158">
        <f>AA588</f>
        <v>0</v>
      </c>
      <c r="AB587" s="75">
        <f>AC587+AD587</f>
        <v>0</v>
      </c>
      <c r="AC587" s="76">
        <f>AC588</f>
        <v>0</v>
      </c>
      <c r="AD587" s="158">
        <f>AD588</f>
        <v>0</v>
      </c>
    </row>
    <row r="588" spans="1:30" ht="14.25" customHeight="1" hidden="1">
      <c r="A588" s="391"/>
      <c r="B588" s="106">
        <v>92113</v>
      </c>
      <c r="C588" s="83" t="s">
        <v>196</v>
      </c>
      <c r="D588" s="80">
        <v>0</v>
      </c>
      <c r="E588" s="138"/>
      <c r="F588" s="139"/>
      <c r="G588" s="80">
        <f>H588+I588</f>
        <v>0</v>
      </c>
      <c r="H588" s="138"/>
      <c r="I588" s="139"/>
      <c r="J588" s="80">
        <f>K588+L588</f>
        <v>0</v>
      </c>
      <c r="K588" s="138"/>
      <c r="L588" s="139"/>
      <c r="M588" s="80">
        <f>N588+O588</f>
        <v>0</v>
      </c>
      <c r="N588" s="138"/>
      <c r="O588" s="139"/>
      <c r="P588" s="80">
        <f>Q588+R588</f>
        <v>0</v>
      </c>
      <c r="Q588" s="138"/>
      <c r="R588" s="139"/>
      <c r="S588" s="80">
        <f>T588+U588</f>
        <v>0</v>
      </c>
      <c r="T588" s="138"/>
      <c r="U588" s="139"/>
      <c r="V588" s="80">
        <f>W588+X588</f>
        <v>0</v>
      </c>
      <c r="W588" s="138"/>
      <c r="X588" s="139"/>
      <c r="Y588" s="80">
        <f>Z588+AA588</f>
        <v>0</v>
      </c>
      <c r="Z588" s="138"/>
      <c r="AA588" s="139"/>
      <c r="AB588" s="80">
        <f>AC588+AD588</f>
        <v>0</v>
      </c>
      <c r="AC588" s="138"/>
      <c r="AD588" s="139"/>
    </row>
    <row r="589" spans="1:30" ht="14.25" customHeight="1" hidden="1">
      <c r="A589" s="391"/>
      <c r="B589" s="106"/>
      <c r="C589" s="83" t="s">
        <v>237</v>
      </c>
      <c r="D589" s="80">
        <v>0</v>
      </c>
      <c r="E589" s="138"/>
      <c r="F589" s="139"/>
      <c r="G589" s="80">
        <f>H589</f>
        <v>0</v>
      </c>
      <c r="H589" s="138"/>
      <c r="I589" s="139"/>
      <c r="J589" s="80">
        <f>K589</f>
        <v>0</v>
      </c>
      <c r="K589" s="138"/>
      <c r="L589" s="139"/>
      <c r="M589" s="80">
        <f>N589</f>
        <v>0</v>
      </c>
      <c r="N589" s="138"/>
      <c r="O589" s="139"/>
      <c r="P589" s="80">
        <f>Q589</f>
        <v>0</v>
      </c>
      <c r="Q589" s="138"/>
      <c r="R589" s="139"/>
      <c r="S589" s="80">
        <f>T589</f>
        <v>0</v>
      </c>
      <c r="T589" s="138"/>
      <c r="U589" s="139"/>
      <c r="V589" s="80">
        <f>W589</f>
        <v>0</v>
      </c>
      <c r="W589" s="138"/>
      <c r="X589" s="139"/>
      <c r="Y589" s="80">
        <f>Z589</f>
        <v>0</v>
      </c>
      <c r="Z589" s="138"/>
      <c r="AA589" s="139"/>
      <c r="AB589" s="80">
        <f>AC589</f>
        <v>0</v>
      </c>
      <c r="AC589" s="138"/>
      <c r="AD589" s="139"/>
    </row>
    <row r="590" spans="1:30" ht="12.75" customHeight="1" hidden="1">
      <c r="A590" s="391"/>
      <c r="B590" s="101">
        <v>921</v>
      </c>
      <c r="C590" s="149" t="s">
        <v>189</v>
      </c>
      <c r="D590" s="103">
        <v>0</v>
      </c>
      <c r="E590" s="104">
        <v>0</v>
      </c>
      <c r="F590" s="171">
        <v>0</v>
      </c>
      <c r="G590" s="103">
        <f>H590+I590</f>
        <v>0</v>
      </c>
      <c r="H590" s="104">
        <f>H591</f>
        <v>0</v>
      </c>
      <c r="I590" s="171">
        <f>I591</f>
        <v>0</v>
      </c>
      <c r="J590" s="103">
        <f>K590+L590</f>
        <v>0</v>
      </c>
      <c r="K590" s="104">
        <f>K591</f>
        <v>0</v>
      </c>
      <c r="L590" s="171">
        <f>L591</f>
        <v>0</v>
      </c>
      <c r="M590" s="103">
        <f>N590+O590</f>
        <v>0</v>
      </c>
      <c r="N590" s="104">
        <f>N591</f>
        <v>0</v>
      </c>
      <c r="O590" s="171">
        <f>O591</f>
        <v>0</v>
      </c>
      <c r="P590" s="103">
        <f>Q590+R590</f>
        <v>0</v>
      </c>
      <c r="Q590" s="104">
        <f>Q591</f>
        <v>0</v>
      </c>
      <c r="R590" s="171">
        <f>R591</f>
        <v>0</v>
      </c>
      <c r="S590" s="103">
        <f>T590+U590</f>
        <v>0</v>
      </c>
      <c r="T590" s="104">
        <f>T591</f>
        <v>0</v>
      </c>
      <c r="U590" s="171">
        <f>U591</f>
        <v>0</v>
      </c>
      <c r="V590" s="103">
        <f>W590+X590</f>
        <v>0</v>
      </c>
      <c r="W590" s="104">
        <f>W591</f>
        <v>0</v>
      </c>
      <c r="X590" s="171">
        <f>X591</f>
        <v>0</v>
      </c>
      <c r="Y590" s="103">
        <f>Z590+AA590</f>
        <v>0</v>
      </c>
      <c r="Z590" s="104">
        <f>Z591</f>
        <v>0</v>
      </c>
      <c r="AA590" s="171">
        <f>AA591</f>
        <v>0</v>
      </c>
      <c r="AB590" s="103">
        <f>AC590+AD590</f>
        <v>0</v>
      </c>
      <c r="AC590" s="104">
        <f>AC591</f>
        <v>0</v>
      </c>
      <c r="AD590" s="171">
        <f>AD591</f>
        <v>0</v>
      </c>
    </row>
    <row r="591" spans="1:30" ht="14.25" customHeight="1" hidden="1">
      <c r="A591" s="391"/>
      <c r="B591" s="106">
        <v>92113</v>
      </c>
      <c r="C591" s="83" t="s">
        <v>196</v>
      </c>
      <c r="D591" s="80">
        <v>0</v>
      </c>
      <c r="E591" s="138"/>
      <c r="F591" s="139"/>
      <c r="G591" s="80">
        <f>H591+I591</f>
        <v>0</v>
      </c>
      <c r="H591" s="138"/>
      <c r="I591" s="139"/>
      <c r="J591" s="80">
        <f>K591+L591</f>
        <v>0</v>
      </c>
      <c r="K591" s="138"/>
      <c r="L591" s="139"/>
      <c r="M591" s="80">
        <f>N591+O591</f>
        <v>0</v>
      </c>
      <c r="N591" s="138"/>
      <c r="O591" s="139"/>
      <c r="P591" s="80">
        <f>Q591+R591</f>
        <v>0</v>
      </c>
      <c r="Q591" s="138"/>
      <c r="R591" s="139"/>
      <c r="S591" s="80">
        <f>T591+U591</f>
        <v>0</v>
      </c>
      <c r="T591" s="138"/>
      <c r="U591" s="139"/>
      <c r="V591" s="80">
        <f>W591+X591</f>
        <v>0</v>
      </c>
      <c r="W591" s="138"/>
      <c r="X591" s="139"/>
      <c r="Y591" s="80">
        <f>Z591+AA591</f>
        <v>0</v>
      </c>
      <c r="Z591" s="138"/>
      <c r="AA591" s="139"/>
      <c r="AB591" s="80">
        <f>AC591+AD591</f>
        <v>0</v>
      </c>
      <c r="AC591" s="138"/>
      <c r="AD591" s="139"/>
    </row>
    <row r="592" spans="1:30" ht="12.75" customHeight="1" hidden="1">
      <c r="A592" s="391"/>
      <c r="B592" s="101">
        <v>853</v>
      </c>
      <c r="C592" s="149" t="s">
        <v>314</v>
      </c>
      <c r="D592" s="103">
        <v>0</v>
      </c>
      <c r="E592" s="104">
        <v>0</v>
      </c>
      <c r="F592" s="171">
        <v>0</v>
      </c>
      <c r="G592" s="103">
        <f>H592+I592</f>
        <v>0</v>
      </c>
      <c r="H592" s="104">
        <f>H593</f>
        <v>0</v>
      </c>
      <c r="I592" s="171">
        <f>I593</f>
        <v>0</v>
      </c>
      <c r="J592" s="103">
        <f>K592+L592</f>
        <v>0</v>
      </c>
      <c r="K592" s="104">
        <f>K593</f>
        <v>0</v>
      </c>
      <c r="L592" s="171">
        <f>L593</f>
        <v>0</v>
      </c>
      <c r="M592" s="103">
        <f>N592+O592</f>
        <v>0</v>
      </c>
      <c r="N592" s="104">
        <f>N593</f>
        <v>0</v>
      </c>
      <c r="O592" s="171">
        <f>O593</f>
        <v>0</v>
      </c>
      <c r="P592" s="103">
        <f>Q592+R592</f>
        <v>0</v>
      </c>
      <c r="Q592" s="104">
        <f>Q593</f>
        <v>0</v>
      </c>
      <c r="R592" s="171">
        <f>R593</f>
        <v>0</v>
      </c>
      <c r="S592" s="103">
        <f>T592+U592</f>
        <v>0</v>
      </c>
      <c r="T592" s="104">
        <f>T593</f>
        <v>0</v>
      </c>
      <c r="U592" s="171">
        <f>U593</f>
        <v>0</v>
      </c>
      <c r="V592" s="103">
        <f>W592+X592</f>
        <v>0</v>
      </c>
      <c r="W592" s="104">
        <f>W593</f>
        <v>0</v>
      </c>
      <c r="X592" s="171">
        <f>X593</f>
        <v>0</v>
      </c>
      <c r="Y592" s="103">
        <f>Z592+AA592</f>
        <v>0</v>
      </c>
      <c r="Z592" s="104">
        <f>Z593</f>
        <v>0</v>
      </c>
      <c r="AA592" s="171">
        <f>AA593</f>
        <v>0</v>
      </c>
      <c r="AB592" s="103">
        <f>AC592+AD592</f>
        <v>0</v>
      </c>
      <c r="AC592" s="104">
        <f>AC593</f>
        <v>0</v>
      </c>
      <c r="AD592" s="171">
        <f>AD593</f>
        <v>0</v>
      </c>
    </row>
    <row r="593" spans="1:30" ht="14.25" customHeight="1" hidden="1" thickBot="1">
      <c r="A593" s="391"/>
      <c r="B593" s="152">
        <v>85395</v>
      </c>
      <c r="C593" s="153" t="s">
        <v>29</v>
      </c>
      <c r="D593" s="154">
        <v>0</v>
      </c>
      <c r="E593" s="155"/>
      <c r="F593" s="253"/>
      <c r="G593" s="154">
        <f>H593+I593</f>
        <v>0</v>
      </c>
      <c r="H593" s="155"/>
      <c r="I593" s="253"/>
      <c r="J593" s="154">
        <f>K593+L593</f>
        <v>0</v>
      </c>
      <c r="K593" s="155"/>
      <c r="L593" s="253"/>
      <c r="M593" s="154">
        <f>N593+O593</f>
        <v>0</v>
      </c>
      <c r="N593" s="155"/>
      <c r="O593" s="253"/>
      <c r="P593" s="154">
        <f>Q593+R593</f>
        <v>0</v>
      </c>
      <c r="Q593" s="155"/>
      <c r="R593" s="253"/>
      <c r="S593" s="154">
        <f>T593+U593</f>
        <v>0</v>
      </c>
      <c r="T593" s="155"/>
      <c r="U593" s="253"/>
      <c r="V593" s="154">
        <f>W593+X593</f>
        <v>0</v>
      </c>
      <c r="W593" s="155"/>
      <c r="X593" s="253"/>
      <c r="Y593" s="154">
        <f>Z593+AA593</f>
        <v>0</v>
      </c>
      <c r="Z593" s="155"/>
      <c r="AA593" s="253"/>
      <c r="AB593" s="154">
        <f>AC593+AD593</f>
        <v>0</v>
      </c>
      <c r="AC593" s="155"/>
      <c r="AD593" s="253"/>
    </row>
    <row r="594" ht="14.25" customHeight="1">
      <c r="A594" s="391"/>
    </row>
    <row r="595" spans="3:30" s="370" customFormat="1" ht="12.75" customHeight="1">
      <c r="C595" s="404" t="s">
        <v>33</v>
      </c>
      <c r="D595" s="405">
        <v>4445563</v>
      </c>
      <c r="E595" s="405">
        <v>3301972</v>
      </c>
      <c r="F595" s="405">
        <v>1143591</v>
      </c>
      <c r="G595" s="405">
        <f aca="true" t="shared" si="380" ref="G595:X595">G38+G49+G57+G63+G94+G108+G146+G176+G184+G202+G247+G251+G265+G268+G279+G283+G286+G299+G308+G318+G328+G234</f>
        <v>4824</v>
      </c>
      <c r="H595" s="405">
        <f t="shared" si="380"/>
        <v>-34617</v>
      </c>
      <c r="I595" s="405">
        <f t="shared" si="380"/>
        <v>39441</v>
      </c>
      <c r="J595" s="405">
        <f t="shared" si="380"/>
        <v>4450387</v>
      </c>
      <c r="K595" s="405">
        <f t="shared" si="380"/>
        <v>3267355</v>
      </c>
      <c r="L595" s="405">
        <f t="shared" si="380"/>
        <v>1183032</v>
      </c>
      <c r="M595" s="405">
        <f t="shared" si="380"/>
        <v>0</v>
      </c>
      <c r="N595" s="405">
        <f t="shared" si="380"/>
        <v>0</v>
      </c>
      <c r="O595" s="405">
        <f t="shared" si="380"/>
        <v>0</v>
      </c>
      <c r="P595" s="405">
        <f t="shared" si="380"/>
        <v>4450387</v>
      </c>
      <c r="Q595" s="405">
        <f t="shared" si="380"/>
        <v>3267355</v>
      </c>
      <c r="R595" s="405">
        <f t="shared" si="380"/>
        <v>1183032</v>
      </c>
      <c r="S595" s="405">
        <f t="shared" si="380"/>
        <v>-347772</v>
      </c>
      <c r="T595" s="405">
        <f t="shared" si="380"/>
        <v>-348856</v>
      </c>
      <c r="U595" s="405">
        <f t="shared" si="380"/>
        <v>1084</v>
      </c>
      <c r="V595" s="405">
        <f t="shared" si="380"/>
        <v>4102615</v>
      </c>
      <c r="W595" s="405">
        <f t="shared" si="380"/>
        <v>2918499</v>
      </c>
      <c r="X595" s="405">
        <f t="shared" si="380"/>
        <v>1184116</v>
      </c>
      <c r="Y595" s="405">
        <f aca="true" t="shared" si="381" ref="Y595:AD595">Y38+Y49+Y57+Y63+Y94+Y108+Y146+Y176+Y184+Y202+Y247+Y251+Y265+Y268+Y279+Y283+Y286+Y299+Y308+Y318+Y328+Y234</f>
        <v>0</v>
      </c>
      <c r="Z595" s="405">
        <f t="shared" si="381"/>
        <v>0</v>
      </c>
      <c r="AA595" s="405">
        <f t="shared" si="381"/>
        <v>0</v>
      </c>
      <c r="AB595" s="405">
        <f t="shared" si="381"/>
        <v>4102615</v>
      </c>
      <c r="AC595" s="405">
        <f t="shared" si="381"/>
        <v>2918499</v>
      </c>
      <c r="AD595" s="405">
        <f t="shared" si="381"/>
        <v>1184116</v>
      </c>
    </row>
    <row r="596" spans="3:30" s="370" customFormat="1" ht="12.75" customHeight="1">
      <c r="C596" s="404"/>
      <c r="D596" s="405"/>
      <c r="E596" s="405"/>
      <c r="F596" s="405"/>
      <c r="G596" s="405"/>
      <c r="H596" s="405"/>
      <c r="I596" s="405"/>
      <c r="J596" s="405"/>
      <c r="K596" s="405"/>
      <c r="L596" s="405"/>
      <c r="M596" s="405"/>
      <c r="N596" s="405"/>
      <c r="O596" s="405"/>
      <c r="P596" s="405"/>
      <c r="Q596" s="405"/>
      <c r="R596" s="405"/>
      <c r="S596" s="405"/>
      <c r="T596" s="405"/>
      <c r="U596" s="405"/>
      <c r="V596" s="405"/>
      <c r="W596" s="405"/>
      <c r="X596" s="405"/>
      <c r="Y596" s="405"/>
      <c r="Z596" s="405"/>
      <c r="AA596" s="405"/>
      <c r="AB596" s="405"/>
      <c r="AC596" s="405"/>
      <c r="AD596" s="405"/>
    </row>
    <row r="597" spans="3:28" ht="12.75" customHeight="1">
      <c r="C597" s="406" t="s">
        <v>315</v>
      </c>
      <c r="D597" s="46">
        <v>218323511</v>
      </c>
      <c r="G597" s="46">
        <f>SUM(G598:G599)</f>
        <v>854530</v>
      </c>
      <c r="J597" s="46">
        <f>SUM(J598:J599)</f>
        <v>219178041</v>
      </c>
      <c r="M597" s="46">
        <f>SUM(M598:M599)</f>
        <v>0</v>
      </c>
      <c r="P597" s="46">
        <f>SUM(P598:P599)</f>
        <v>219178041</v>
      </c>
      <c r="S597" s="46">
        <f>SUM(S598:S599)</f>
        <v>-53822827</v>
      </c>
      <c r="V597" s="46">
        <f>SUM(V598:V599)</f>
        <v>165355214</v>
      </c>
      <c r="Y597" s="46">
        <f>SUM(Y598:Y599)</f>
        <v>0</v>
      </c>
      <c r="AB597" s="46">
        <f>SUM(AB598:AB599)</f>
        <v>165355214</v>
      </c>
    </row>
    <row r="598" spans="3:30" s="370" customFormat="1" ht="12.75" customHeight="1">
      <c r="C598" s="407" t="s">
        <v>42</v>
      </c>
      <c r="D598" s="405">
        <v>217357097</v>
      </c>
      <c r="E598" s="405">
        <v>2667417</v>
      </c>
      <c r="F598" s="405">
        <v>214689680</v>
      </c>
      <c r="G598" s="405">
        <f aca="true" t="shared" si="382" ref="G598:X598">G62+G69+G81+G84+G88+G143+G174+G199+G207+G221+G233+G255+G325+G383+G386+G399+G406+G416+G422+G426+G437+G482+G493+G495+G516+G47+G312+G501+G303+G508+G149+G261+G55+G77</f>
        <v>735962</v>
      </c>
      <c r="H598" s="405">
        <f t="shared" si="382"/>
        <v>265962</v>
      </c>
      <c r="I598" s="405">
        <f t="shared" si="382"/>
        <v>470000</v>
      </c>
      <c r="J598" s="405">
        <f t="shared" si="382"/>
        <v>218093059</v>
      </c>
      <c r="K598" s="405">
        <f t="shared" si="382"/>
        <v>2933379</v>
      </c>
      <c r="L598" s="405">
        <f t="shared" si="382"/>
        <v>215159680</v>
      </c>
      <c r="M598" s="405">
        <f t="shared" si="382"/>
        <v>0</v>
      </c>
      <c r="N598" s="405">
        <f t="shared" si="382"/>
        <v>0</v>
      </c>
      <c r="O598" s="405">
        <f t="shared" si="382"/>
        <v>0</v>
      </c>
      <c r="P598" s="405">
        <f t="shared" si="382"/>
        <v>218093059</v>
      </c>
      <c r="Q598" s="405">
        <f t="shared" si="382"/>
        <v>2933379</v>
      </c>
      <c r="R598" s="405">
        <f t="shared" si="382"/>
        <v>215159680</v>
      </c>
      <c r="S598" s="405">
        <f t="shared" si="382"/>
        <v>-53958262</v>
      </c>
      <c r="T598" s="405">
        <f t="shared" si="382"/>
        <v>147720</v>
      </c>
      <c r="U598" s="405">
        <f t="shared" si="382"/>
        <v>-54105982</v>
      </c>
      <c r="V598" s="405">
        <f t="shared" si="382"/>
        <v>164134797</v>
      </c>
      <c r="W598" s="405">
        <f t="shared" si="382"/>
        <v>3081099</v>
      </c>
      <c r="X598" s="405">
        <f t="shared" si="382"/>
        <v>161053698</v>
      </c>
      <c r="Y598" s="405">
        <f aca="true" t="shared" si="383" ref="Y598:AD598">Y62+Y69+Y81+Y84+Y88+Y143+Y174+Y199+Y207+Y221+Y233+Y255+Y325+Y383+Y386+Y399+Y406+Y416+Y422+Y426+Y437+Y482+Y493+Y495+Y516+Y47+Y312+Y501+Y303+Y508+Y149+Y261+Y55+Y77</f>
        <v>0</v>
      </c>
      <c r="Z598" s="405">
        <f t="shared" si="383"/>
        <v>0</v>
      </c>
      <c r="AA598" s="405">
        <f t="shared" si="383"/>
        <v>0</v>
      </c>
      <c r="AB598" s="405">
        <f t="shared" si="383"/>
        <v>164134797</v>
      </c>
      <c r="AC598" s="405">
        <f t="shared" si="383"/>
        <v>3081099</v>
      </c>
      <c r="AD598" s="405">
        <f t="shared" si="383"/>
        <v>161053698</v>
      </c>
    </row>
    <row r="599" spans="3:30" s="370" customFormat="1" ht="12.75" customHeight="1">
      <c r="C599" s="407" t="s">
        <v>316</v>
      </c>
      <c r="D599" s="405">
        <v>966414</v>
      </c>
      <c r="E599" s="405">
        <v>966414</v>
      </c>
      <c r="F599" s="405">
        <v>0</v>
      </c>
      <c r="G599" s="405">
        <f aca="true" t="shared" si="384" ref="G599:X599">G144+G91</f>
        <v>118568</v>
      </c>
      <c r="H599" s="405">
        <f t="shared" si="384"/>
        <v>118568</v>
      </c>
      <c r="I599" s="405">
        <f t="shared" si="384"/>
        <v>0</v>
      </c>
      <c r="J599" s="405">
        <f t="shared" si="384"/>
        <v>1084982</v>
      </c>
      <c r="K599" s="405">
        <f t="shared" si="384"/>
        <v>1084982</v>
      </c>
      <c r="L599" s="405">
        <f t="shared" si="384"/>
        <v>0</v>
      </c>
      <c r="M599" s="405">
        <f t="shared" si="384"/>
        <v>0</v>
      </c>
      <c r="N599" s="405">
        <f t="shared" si="384"/>
        <v>0</v>
      </c>
      <c r="O599" s="405">
        <f t="shared" si="384"/>
        <v>0</v>
      </c>
      <c r="P599" s="405">
        <f t="shared" si="384"/>
        <v>1084982</v>
      </c>
      <c r="Q599" s="405">
        <f t="shared" si="384"/>
        <v>1084982</v>
      </c>
      <c r="R599" s="405">
        <f t="shared" si="384"/>
        <v>0</v>
      </c>
      <c r="S599" s="405">
        <f t="shared" si="384"/>
        <v>135435</v>
      </c>
      <c r="T599" s="405">
        <f t="shared" si="384"/>
        <v>110435</v>
      </c>
      <c r="U599" s="405">
        <f t="shared" si="384"/>
        <v>25000</v>
      </c>
      <c r="V599" s="405">
        <f t="shared" si="384"/>
        <v>1220417</v>
      </c>
      <c r="W599" s="405">
        <f t="shared" si="384"/>
        <v>1195417</v>
      </c>
      <c r="X599" s="405">
        <f t="shared" si="384"/>
        <v>25000</v>
      </c>
      <c r="Y599" s="405">
        <f aca="true" t="shared" si="385" ref="Y599:AD599">Y144+Y91</f>
        <v>0</v>
      </c>
      <c r="Z599" s="405">
        <f t="shared" si="385"/>
        <v>0</v>
      </c>
      <c r="AA599" s="405">
        <f t="shared" si="385"/>
        <v>0</v>
      </c>
      <c r="AB599" s="405">
        <f t="shared" si="385"/>
        <v>1220417</v>
      </c>
      <c r="AC599" s="405">
        <f t="shared" si="385"/>
        <v>1195417</v>
      </c>
      <c r="AD599" s="405">
        <f t="shared" si="385"/>
        <v>25000</v>
      </c>
    </row>
    <row r="600" spans="3:30" s="100" customFormat="1" ht="11.25">
      <c r="C600" s="408" t="s">
        <v>39</v>
      </c>
      <c r="E600" s="162"/>
      <c r="F600" s="162"/>
      <c r="H600" s="162"/>
      <c r="I600" s="162"/>
      <c r="K600" s="162"/>
      <c r="L600" s="162"/>
      <c r="N600" s="162"/>
      <c r="O600" s="162"/>
      <c r="Q600" s="162"/>
      <c r="R600" s="162"/>
      <c r="T600" s="162"/>
      <c r="U600" s="162"/>
      <c r="W600" s="162"/>
      <c r="X600" s="162"/>
      <c r="Z600" s="162"/>
      <c r="AA600" s="162"/>
      <c r="AC600" s="162"/>
      <c r="AD600" s="162"/>
    </row>
    <row r="601" spans="3:30" s="100" customFormat="1" ht="11.25">
      <c r="C601" s="409" t="s">
        <v>317</v>
      </c>
      <c r="D601" s="162">
        <v>2621518</v>
      </c>
      <c r="E601" s="162">
        <v>2621518</v>
      </c>
      <c r="F601" s="162">
        <v>0</v>
      </c>
      <c r="G601" s="162">
        <f aca="true" t="shared" si="386" ref="G601:X601">G44+G151+G159+G237+G168+G157+G84+G166+G102</f>
        <v>0</v>
      </c>
      <c r="H601" s="162">
        <f t="shared" si="386"/>
        <v>0</v>
      </c>
      <c r="I601" s="162">
        <f t="shared" si="386"/>
        <v>0</v>
      </c>
      <c r="J601" s="162">
        <f t="shared" si="386"/>
        <v>2621518</v>
      </c>
      <c r="K601" s="162">
        <f t="shared" si="386"/>
        <v>2621518</v>
      </c>
      <c r="L601" s="162">
        <f t="shared" si="386"/>
        <v>0</v>
      </c>
      <c r="M601" s="162">
        <f t="shared" si="386"/>
        <v>0</v>
      </c>
      <c r="N601" s="162">
        <f t="shared" si="386"/>
        <v>0</v>
      </c>
      <c r="O601" s="162">
        <f t="shared" si="386"/>
        <v>0</v>
      </c>
      <c r="P601" s="162">
        <f t="shared" si="386"/>
        <v>2621518</v>
      </c>
      <c r="Q601" s="162">
        <f t="shared" si="386"/>
        <v>2621518</v>
      </c>
      <c r="R601" s="162">
        <f t="shared" si="386"/>
        <v>0</v>
      </c>
      <c r="S601" s="162">
        <f t="shared" si="386"/>
        <v>0</v>
      </c>
      <c r="T601" s="162">
        <f t="shared" si="386"/>
        <v>0</v>
      </c>
      <c r="U601" s="162">
        <f t="shared" si="386"/>
        <v>0</v>
      </c>
      <c r="V601" s="162">
        <f t="shared" si="386"/>
        <v>2621518</v>
      </c>
      <c r="W601" s="162">
        <f t="shared" si="386"/>
        <v>2621518</v>
      </c>
      <c r="X601" s="162">
        <f t="shared" si="386"/>
        <v>0</v>
      </c>
      <c r="Y601" s="162">
        <f aca="true" t="shared" si="387" ref="Y601:AD601">Y44+Y151+Y159+Y237+Y168+Y157+Y84+Y166+Y102</f>
        <v>0</v>
      </c>
      <c r="Z601" s="162">
        <f t="shared" si="387"/>
        <v>0</v>
      </c>
      <c r="AA601" s="162">
        <f t="shared" si="387"/>
        <v>0</v>
      </c>
      <c r="AB601" s="162">
        <f t="shared" si="387"/>
        <v>2621518</v>
      </c>
      <c r="AC601" s="162">
        <f t="shared" si="387"/>
        <v>2621518</v>
      </c>
      <c r="AD601" s="162">
        <f t="shared" si="387"/>
        <v>0</v>
      </c>
    </row>
    <row r="602" spans="3:30" s="100" customFormat="1" ht="11.25">
      <c r="C602" s="409" t="s">
        <v>318</v>
      </c>
      <c r="D602" s="410">
        <v>1800000</v>
      </c>
      <c r="E602" s="410">
        <v>1800000</v>
      </c>
      <c r="F602" s="410">
        <v>0</v>
      </c>
      <c r="G602" s="410">
        <f aca="true" t="shared" si="388" ref="G602:X602">G451+G465+G517+G509+G396+G384+G476</f>
        <v>0</v>
      </c>
      <c r="H602" s="410">
        <f t="shared" si="388"/>
        <v>0</v>
      </c>
      <c r="I602" s="410">
        <f t="shared" si="388"/>
        <v>0</v>
      </c>
      <c r="J602" s="410">
        <f t="shared" si="388"/>
        <v>1800000</v>
      </c>
      <c r="K602" s="410">
        <f t="shared" si="388"/>
        <v>1800000</v>
      </c>
      <c r="L602" s="410">
        <f t="shared" si="388"/>
        <v>0</v>
      </c>
      <c r="M602" s="410">
        <f t="shared" si="388"/>
        <v>0</v>
      </c>
      <c r="N602" s="410">
        <f t="shared" si="388"/>
        <v>0</v>
      </c>
      <c r="O602" s="410">
        <f t="shared" si="388"/>
        <v>0</v>
      </c>
      <c r="P602" s="410">
        <f t="shared" si="388"/>
        <v>1800000</v>
      </c>
      <c r="Q602" s="410">
        <f t="shared" si="388"/>
        <v>1800000</v>
      </c>
      <c r="R602" s="410">
        <f t="shared" si="388"/>
        <v>0</v>
      </c>
      <c r="S602" s="410">
        <f t="shared" si="388"/>
        <v>206500</v>
      </c>
      <c r="T602" s="410">
        <f t="shared" si="388"/>
        <v>5500</v>
      </c>
      <c r="U602" s="410">
        <f t="shared" si="388"/>
        <v>201000</v>
      </c>
      <c r="V602" s="410">
        <f t="shared" si="388"/>
        <v>2006500</v>
      </c>
      <c r="W602" s="410">
        <f t="shared" si="388"/>
        <v>1805500</v>
      </c>
      <c r="X602" s="410">
        <f t="shared" si="388"/>
        <v>201000</v>
      </c>
      <c r="Y602" s="410">
        <f aca="true" t="shared" si="389" ref="Y602:AD602">Y451+Y465+Y517+Y509+Y396+Y384+Y476</f>
        <v>0</v>
      </c>
      <c r="Z602" s="410">
        <f t="shared" si="389"/>
        <v>0</v>
      </c>
      <c r="AA602" s="410">
        <f t="shared" si="389"/>
        <v>0</v>
      </c>
      <c r="AB602" s="410">
        <f t="shared" si="389"/>
        <v>2006500</v>
      </c>
      <c r="AC602" s="410">
        <f t="shared" si="389"/>
        <v>1805500</v>
      </c>
      <c r="AD602" s="410">
        <f t="shared" si="389"/>
        <v>201000</v>
      </c>
    </row>
    <row r="603" spans="3:30" s="100" customFormat="1" ht="11.25">
      <c r="C603" s="409"/>
      <c r="D603" s="162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2"/>
      <c r="U603" s="162"/>
      <c r="V603" s="162"/>
      <c r="W603" s="162"/>
      <c r="X603" s="162"/>
      <c r="Y603" s="162"/>
      <c r="Z603" s="162"/>
      <c r="AA603" s="162"/>
      <c r="AB603" s="162"/>
      <c r="AC603" s="162"/>
      <c r="AD603" s="162"/>
    </row>
    <row r="604" spans="3:30" ht="11.25">
      <c r="C604" s="24" t="s">
        <v>319</v>
      </c>
      <c r="D604" s="46">
        <v>47877149</v>
      </c>
      <c r="E604" s="46">
        <v>20877149</v>
      </c>
      <c r="F604" s="46">
        <v>27000000</v>
      </c>
      <c r="G604" s="46">
        <f>G119+G607</f>
        <v>3518982</v>
      </c>
      <c r="H604" s="46">
        <f>H119+H456</f>
        <v>3318982</v>
      </c>
      <c r="I604" s="46">
        <f>I119+I456</f>
        <v>-800000</v>
      </c>
      <c r="J604" s="46">
        <f>J119+J607</f>
        <v>51396131</v>
      </c>
      <c r="K604" s="46">
        <f>K119+K456</f>
        <v>24196131</v>
      </c>
      <c r="L604" s="46">
        <f>L119+L456</f>
        <v>26200000</v>
      </c>
      <c r="M604" s="46">
        <f>M119+M607</f>
        <v>-3334499</v>
      </c>
      <c r="N604" s="46">
        <f>N119+N456</f>
        <v>-3334499</v>
      </c>
      <c r="O604" s="46">
        <f>O119+O456</f>
        <v>0</v>
      </c>
      <c r="P604" s="46">
        <f>P119+P607</f>
        <v>48061632</v>
      </c>
      <c r="Q604" s="46">
        <f>Q119+Q456</f>
        <v>20861632</v>
      </c>
      <c r="R604" s="46">
        <f>R119+R456</f>
        <v>26200000</v>
      </c>
      <c r="S604" s="46">
        <f>S119+S607</f>
        <v>51244847</v>
      </c>
      <c r="T604" s="46">
        <f>T119+T456</f>
        <v>59044847</v>
      </c>
      <c r="U604" s="46">
        <f>U119+U456</f>
        <v>-6800000</v>
      </c>
      <c r="V604" s="46">
        <f>V119+V607</f>
        <v>99306479</v>
      </c>
      <c r="W604" s="46">
        <f>W119+W456</f>
        <v>79906479</v>
      </c>
      <c r="X604" s="46">
        <f>X119+X456</f>
        <v>19400000</v>
      </c>
      <c r="Y604" s="46">
        <f>Y119+Y607</f>
        <v>-2462495</v>
      </c>
      <c r="Z604" s="46">
        <f>Z119+Z456</f>
        <v>-2462495</v>
      </c>
      <c r="AA604" s="46">
        <f>AA119+AA456</f>
        <v>0</v>
      </c>
      <c r="AB604" s="46">
        <f>AB119+AB607</f>
        <v>96843984</v>
      </c>
      <c r="AC604" s="46">
        <f>AC119+AC456</f>
        <v>77443984</v>
      </c>
      <c r="AD604" s="46">
        <f>AD119+AD456</f>
        <v>19400000</v>
      </c>
    </row>
    <row r="605" spans="3:30" ht="11.25">
      <c r="C605" s="24" t="s">
        <v>94</v>
      </c>
      <c r="D605" s="46">
        <v>7008849</v>
      </c>
      <c r="E605" s="46">
        <v>7008849</v>
      </c>
      <c r="F605" s="46">
        <v>0</v>
      </c>
      <c r="G605" s="46">
        <f aca="true" t="shared" si="390" ref="G605:X605">G120</f>
        <v>3882365</v>
      </c>
      <c r="H605" s="46">
        <f t="shared" si="390"/>
        <v>3882365</v>
      </c>
      <c r="I605" s="46">
        <f t="shared" si="390"/>
        <v>0</v>
      </c>
      <c r="J605" s="46">
        <f t="shared" si="390"/>
        <v>10891214</v>
      </c>
      <c r="K605" s="46">
        <f t="shared" si="390"/>
        <v>10891214</v>
      </c>
      <c r="L605" s="46">
        <f t="shared" si="390"/>
        <v>0</v>
      </c>
      <c r="M605" s="46">
        <f t="shared" si="390"/>
        <v>0</v>
      </c>
      <c r="N605" s="46">
        <f t="shared" si="390"/>
        <v>0</v>
      </c>
      <c r="O605" s="46">
        <f t="shared" si="390"/>
        <v>0</v>
      </c>
      <c r="P605" s="46">
        <f t="shared" si="390"/>
        <v>10891214</v>
      </c>
      <c r="Q605" s="46">
        <f t="shared" si="390"/>
        <v>10891214</v>
      </c>
      <c r="R605" s="46">
        <f t="shared" si="390"/>
        <v>0</v>
      </c>
      <c r="S605" s="46">
        <f t="shared" si="390"/>
        <v>-2250000</v>
      </c>
      <c r="T605" s="46">
        <f t="shared" si="390"/>
        <v>-2250000</v>
      </c>
      <c r="U605" s="46">
        <f t="shared" si="390"/>
        <v>0</v>
      </c>
      <c r="V605" s="46">
        <f t="shared" si="390"/>
        <v>8641214</v>
      </c>
      <c r="W605" s="46">
        <f t="shared" si="390"/>
        <v>8641214</v>
      </c>
      <c r="X605" s="46">
        <f t="shared" si="390"/>
        <v>0</v>
      </c>
      <c r="Y605" s="46">
        <f aca="true" t="shared" si="391" ref="Y605:AD605">Y120</f>
        <v>-111695</v>
      </c>
      <c r="Z605" s="46">
        <f t="shared" si="391"/>
        <v>-111695</v>
      </c>
      <c r="AA605" s="46">
        <f t="shared" si="391"/>
        <v>0</v>
      </c>
      <c r="AB605" s="46">
        <f t="shared" si="391"/>
        <v>8529519</v>
      </c>
      <c r="AC605" s="46">
        <f t="shared" si="391"/>
        <v>8529519</v>
      </c>
      <c r="AD605" s="46">
        <f t="shared" si="391"/>
        <v>0</v>
      </c>
    </row>
    <row r="606" spans="3:30" ht="11.25">
      <c r="C606" s="24" t="s">
        <v>320</v>
      </c>
      <c r="D606" s="46">
        <v>40868300</v>
      </c>
      <c r="E606" s="46">
        <v>13868300</v>
      </c>
      <c r="F606" s="46">
        <v>27000000</v>
      </c>
      <c r="G606" s="46">
        <f aca="true" t="shared" si="392" ref="G606:X606">G121+G607</f>
        <v>-363383</v>
      </c>
      <c r="H606" s="46">
        <f t="shared" si="392"/>
        <v>436617</v>
      </c>
      <c r="I606" s="46">
        <f t="shared" si="392"/>
        <v>-800000</v>
      </c>
      <c r="J606" s="46">
        <f t="shared" si="392"/>
        <v>40504917</v>
      </c>
      <c r="K606" s="46">
        <f t="shared" si="392"/>
        <v>14304917</v>
      </c>
      <c r="L606" s="46">
        <f t="shared" si="392"/>
        <v>26200000</v>
      </c>
      <c r="M606" s="46">
        <f t="shared" si="392"/>
        <v>-3334499</v>
      </c>
      <c r="N606" s="46">
        <f t="shared" si="392"/>
        <v>-3334499</v>
      </c>
      <c r="O606" s="46">
        <f t="shared" si="392"/>
        <v>0</v>
      </c>
      <c r="P606" s="46">
        <f t="shared" si="392"/>
        <v>37170418</v>
      </c>
      <c r="Q606" s="46">
        <f t="shared" si="392"/>
        <v>10970418</v>
      </c>
      <c r="R606" s="46">
        <f t="shared" si="392"/>
        <v>26200000</v>
      </c>
      <c r="S606" s="46">
        <f t="shared" si="392"/>
        <v>53494847</v>
      </c>
      <c r="T606" s="46">
        <f t="shared" si="392"/>
        <v>60294847</v>
      </c>
      <c r="U606" s="46">
        <f t="shared" si="392"/>
        <v>-6800000</v>
      </c>
      <c r="V606" s="46">
        <f t="shared" si="392"/>
        <v>90665265</v>
      </c>
      <c r="W606" s="46">
        <f t="shared" si="392"/>
        <v>71265265</v>
      </c>
      <c r="X606" s="46">
        <f t="shared" si="392"/>
        <v>19400000</v>
      </c>
      <c r="Y606" s="46">
        <f aca="true" t="shared" si="393" ref="Y606:AD606">Y121+Y607</f>
        <v>-2350800</v>
      </c>
      <c r="Z606" s="46">
        <f t="shared" si="393"/>
        <v>-2350800</v>
      </c>
      <c r="AA606" s="46">
        <f t="shared" si="393"/>
        <v>0</v>
      </c>
      <c r="AB606" s="46">
        <f t="shared" si="393"/>
        <v>88314465</v>
      </c>
      <c r="AC606" s="46">
        <f t="shared" si="393"/>
        <v>68914465</v>
      </c>
      <c r="AD606" s="46">
        <f t="shared" si="393"/>
        <v>19400000</v>
      </c>
    </row>
    <row r="607" spans="3:30" ht="11.25">
      <c r="C607" s="24" t="s">
        <v>321</v>
      </c>
      <c r="D607" s="46">
        <v>10300</v>
      </c>
      <c r="E607" s="46">
        <v>10300</v>
      </c>
      <c r="F607" s="46">
        <v>0</v>
      </c>
      <c r="G607" s="46">
        <f aca="true" t="shared" si="394" ref="G607:X607">G456+G307</f>
        <v>1000000</v>
      </c>
      <c r="H607" s="46">
        <f t="shared" si="394"/>
        <v>1000000</v>
      </c>
      <c r="I607" s="46">
        <f t="shared" si="394"/>
        <v>0</v>
      </c>
      <c r="J607" s="46">
        <f t="shared" si="394"/>
        <v>1010300</v>
      </c>
      <c r="K607" s="46">
        <f t="shared" si="394"/>
        <v>1010300</v>
      </c>
      <c r="L607" s="46">
        <f t="shared" si="394"/>
        <v>0</v>
      </c>
      <c r="M607" s="46">
        <f t="shared" si="394"/>
        <v>0</v>
      </c>
      <c r="N607" s="46">
        <f t="shared" si="394"/>
        <v>0</v>
      </c>
      <c r="O607" s="46">
        <f t="shared" si="394"/>
        <v>0</v>
      </c>
      <c r="P607" s="46">
        <f t="shared" si="394"/>
        <v>1010300</v>
      </c>
      <c r="Q607" s="46">
        <f t="shared" si="394"/>
        <v>1010300</v>
      </c>
      <c r="R607" s="46">
        <f t="shared" si="394"/>
        <v>0</v>
      </c>
      <c r="S607" s="46">
        <f t="shared" si="394"/>
        <v>-1000000</v>
      </c>
      <c r="T607" s="46">
        <f t="shared" si="394"/>
        <v>-1000000</v>
      </c>
      <c r="U607" s="46">
        <f t="shared" si="394"/>
        <v>0</v>
      </c>
      <c r="V607" s="46">
        <f t="shared" si="394"/>
        <v>10300</v>
      </c>
      <c r="W607" s="46">
        <f t="shared" si="394"/>
        <v>10300</v>
      </c>
      <c r="X607" s="46">
        <f t="shared" si="394"/>
        <v>0</v>
      </c>
      <c r="Y607" s="46">
        <f aca="true" t="shared" si="395" ref="Y607:AD607">Y456+Y307</f>
        <v>0</v>
      </c>
      <c r="Z607" s="46">
        <f t="shared" si="395"/>
        <v>0</v>
      </c>
      <c r="AA607" s="46">
        <f t="shared" si="395"/>
        <v>0</v>
      </c>
      <c r="AB607" s="46">
        <f t="shared" si="395"/>
        <v>10300</v>
      </c>
      <c r="AC607" s="46">
        <f t="shared" si="395"/>
        <v>10300</v>
      </c>
      <c r="AD607" s="46">
        <f t="shared" si="395"/>
        <v>0</v>
      </c>
    </row>
    <row r="608" spans="5:30" ht="11.25">
      <c r="E608" s="411"/>
      <c r="F608" s="17"/>
      <c r="H608" s="411"/>
      <c r="I608" s="17"/>
      <c r="K608" s="411"/>
      <c r="L608" s="17"/>
      <c r="N608" s="411"/>
      <c r="O608" s="17"/>
      <c r="Q608" s="411"/>
      <c r="R608" s="17"/>
      <c r="T608" s="411"/>
      <c r="U608" s="17"/>
      <c r="W608" s="411"/>
      <c r="X608" s="17"/>
      <c r="Z608" s="411"/>
      <c r="AA608" s="17"/>
      <c r="AC608" s="411"/>
      <c r="AD608" s="17"/>
    </row>
    <row r="609" spans="2:30" s="147" customFormat="1" ht="12.75">
      <c r="B609" s="412"/>
      <c r="C609" s="407"/>
      <c r="D609" s="413"/>
      <c r="E609" s="413"/>
      <c r="F609" s="413"/>
      <c r="G609" s="413"/>
      <c r="H609" s="413"/>
      <c r="I609" s="413"/>
      <c r="J609" s="413"/>
      <c r="K609" s="413"/>
      <c r="L609" s="413"/>
      <c r="M609" s="413"/>
      <c r="N609" s="413"/>
      <c r="O609" s="413"/>
      <c r="P609" s="413"/>
      <c r="Q609" s="413"/>
      <c r="R609" s="413"/>
      <c r="S609" s="413"/>
      <c r="T609" s="413"/>
      <c r="U609" s="413"/>
      <c r="V609" s="413"/>
      <c r="W609" s="413"/>
      <c r="X609" s="413"/>
      <c r="Y609" s="413"/>
      <c r="Z609" s="413"/>
      <c r="AA609" s="413"/>
      <c r="AB609" s="413"/>
      <c r="AC609" s="413"/>
      <c r="AD609" s="413"/>
    </row>
    <row r="611" spans="4:28" ht="11.25">
      <c r="D611" s="46">
        <v>873241</v>
      </c>
      <c r="G611" s="46">
        <f>H437+H426+H422+H416+H406+H174+H143</f>
        <v>247536</v>
      </c>
      <c r="J611" s="46">
        <f>K437+K426+K422+K416+K406+K174+K143</f>
        <v>1120777</v>
      </c>
      <c r="M611" s="46">
        <f>N437+N426+N422+N416+N406+N174+N143</f>
        <v>0</v>
      </c>
      <c r="P611" s="46">
        <f>Q437+Q426+Q422+Q416+Q406+Q174+Q143</f>
        <v>1120777</v>
      </c>
      <c r="S611" s="46">
        <f>T437+T426+T422+T416+T406+T174+T143</f>
        <v>5031</v>
      </c>
      <c r="V611" s="46">
        <f>W437+W426+W422+W416+W406+W174+W143</f>
        <v>1125808</v>
      </c>
      <c r="Y611" s="46">
        <f>Z437+Z426+Z422+Z416+Z406+Z174+Z143</f>
        <v>0</v>
      </c>
      <c r="AB611" s="46">
        <f>AC437+AC426+AC422+AC416+AC406+AC174+AC143</f>
        <v>1125808</v>
      </c>
    </row>
    <row r="612" spans="4:28" ht="11.25">
      <c r="D612" s="46"/>
      <c r="G612" s="46"/>
      <c r="J612" s="46"/>
      <c r="M612" s="46"/>
      <c r="P612" s="46"/>
      <c r="S612" s="46"/>
      <c r="V612" s="46"/>
      <c r="Y612" s="46"/>
      <c r="AB612" s="46"/>
    </row>
    <row r="613" spans="3:28" s="100" customFormat="1" ht="11.25">
      <c r="C613" s="24"/>
      <c r="D613" s="46"/>
      <c r="G613" s="46"/>
      <c r="J613" s="46"/>
      <c r="M613" s="46"/>
      <c r="P613" s="46"/>
      <c r="S613" s="46"/>
      <c r="V613" s="46"/>
      <c r="Y613" s="46"/>
      <c r="AB613" s="46"/>
    </row>
    <row r="614" spans="3:28" s="100" customFormat="1" ht="11.25">
      <c r="C614" s="24"/>
      <c r="D614" s="46"/>
      <c r="G614" s="46"/>
      <c r="J614" s="46"/>
      <c r="M614" s="46"/>
      <c r="P614" s="46"/>
      <c r="S614" s="46"/>
      <c r="V614" s="46"/>
      <c r="Y614" s="46"/>
      <c r="AB614" s="46"/>
    </row>
    <row r="615" spans="4:28" s="100" customFormat="1" ht="11.25">
      <c r="D615" s="162"/>
      <c r="G615" s="162"/>
      <c r="J615" s="162"/>
      <c r="M615" s="162"/>
      <c r="P615" s="162"/>
      <c r="S615" s="162"/>
      <c r="V615" s="162"/>
      <c r="Y615" s="162"/>
      <c r="AB615" s="162"/>
    </row>
    <row r="616" spans="3:28" ht="11.25">
      <c r="C616" s="100"/>
      <c r="D616" s="162"/>
      <c r="G616" s="162"/>
      <c r="J616" s="162"/>
      <c r="M616" s="162"/>
      <c r="P616" s="162"/>
      <c r="S616" s="162"/>
      <c r="V616" s="162"/>
      <c r="Y616" s="162"/>
      <c r="AB616" s="162"/>
    </row>
    <row r="617" spans="3:28" ht="11.25">
      <c r="C617" s="100"/>
      <c r="D617" s="162"/>
      <c r="G617" s="162"/>
      <c r="J617" s="162"/>
      <c r="M617" s="162"/>
      <c r="P617" s="162"/>
      <c r="S617" s="162"/>
      <c r="V617" s="162"/>
      <c r="Y617" s="162"/>
      <c r="AB617" s="162"/>
    </row>
    <row r="618" spans="3:28" ht="11.25">
      <c r="C618" s="100"/>
      <c r="D618" s="162"/>
      <c r="G618" s="162"/>
      <c r="J618" s="162"/>
      <c r="M618" s="162"/>
      <c r="P618" s="162"/>
      <c r="S618" s="162"/>
      <c r="V618" s="162"/>
      <c r="Y618" s="162"/>
      <c r="AB618" s="162"/>
    </row>
    <row r="619" spans="4:28" ht="11.25">
      <c r="D619" s="414"/>
      <c r="G619" s="414"/>
      <c r="J619" s="414"/>
      <c r="M619" s="414"/>
      <c r="P619" s="414"/>
      <c r="S619" s="414"/>
      <c r="V619" s="414"/>
      <c r="Y619" s="414"/>
      <c r="AB619" s="414"/>
    </row>
    <row r="621" spans="4:28" ht="11.25">
      <c r="D621" s="46"/>
      <c r="G621" s="46"/>
      <c r="J621" s="46"/>
      <c r="M621" s="46"/>
      <c r="P621" s="46"/>
      <c r="S621" s="46"/>
      <c r="V621" s="46"/>
      <c r="Y621" s="46"/>
      <c r="AB621" s="46"/>
    </row>
  </sheetData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75" r:id="rId1"/>
  <rowBreaks count="6" manualBreakCount="6">
    <brk id="108" min="1" max="29" man="1"/>
    <brk id="257" min="1" max="29" man="1"/>
    <brk id="473" min="1" max="29" man="1"/>
    <brk id="522" min="1" max="29" man="1"/>
    <brk id="565" min="1" max="29" man="1"/>
    <brk id="586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</cp:lastModifiedBy>
  <cp:lastPrinted>2008-07-03T10:25:26Z</cp:lastPrinted>
  <dcterms:created xsi:type="dcterms:W3CDTF">2008-03-26T12:06:03Z</dcterms:created>
  <dcterms:modified xsi:type="dcterms:W3CDTF">2008-07-07T07:54:05Z</dcterms:modified>
  <cp:category/>
  <cp:version/>
  <cp:contentType/>
  <cp:contentStatus/>
</cp:coreProperties>
</file>